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xWindow="120" yWindow="75" windowWidth="30255" windowHeight="15990" tabRatio="500" activeTab="2"/>
  </bookViews>
  <sheets>
    <sheet name="Budget worksheet" sheetId="3" r:id="rId1"/>
    <sheet name="Actuals 9-15-17" sheetId="1" r:id="rId2"/>
    <sheet name="G&amp;G Cash 17-18" sheetId="2" r:id="rId3"/>
  </sheets>
  <externalReferences>
    <externalReference r:id="rId4"/>
  </externalReferences>
  <definedNames>
    <definedName name="_xlnm.Print_Titles" localSheetId="1">'Actuals 9-15-17'!$3:$4</definedName>
    <definedName name="_xlnm.Print_Titles" localSheetId="0">'Budget worksheet'!$3:$4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3" l="1"/>
  <c r="O18" i="3"/>
  <c r="O22" i="3"/>
  <c r="O28" i="3"/>
  <c r="O29" i="3"/>
  <c r="O30" i="3"/>
  <c r="O42" i="3"/>
  <c r="O43" i="3"/>
  <c r="O47" i="3"/>
  <c r="O52" i="3"/>
  <c r="O82" i="3"/>
  <c r="O63" i="3"/>
  <c r="O57" i="3"/>
  <c r="O84" i="3"/>
  <c r="O87" i="3"/>
  <c r="O97" i="3"/>
  <c r="O99" i="3"/>
  <c r="O101" i="3"/>
  <c r="O110" i="3"/>
  <c r="O120" i="3"/>
  <c r="O126" i="3"/>
  <c r="O127" i="3"/>
  <c r="L46" i="3"/>
  <c r="L47" i="3"/>
  <c r="L30" i="3"/>
  <c r="L10" i="3"/>
  <c r="L14" i="3"/>
  <c r="L16" i="3"/>
  <c r="L18" i="3"/>
  <c r="L22" i="3"/>
  <c r="L52" i="3"/>
  <c r="L90" i="3"/>
  <c r="L97" i="3"/>
  <c r="L82" i="3"/>
  <c r="L57" i="3"/>
  <c r="L63" i="3"/>
  <c r="L84" i="3"/>
  <c r="L99" i="3"/>
  <c r="L101" i="3"/>
  <c r="L110" i="3"/>
  <c r="L126" i="3"/>
  <c r="L127" i="3"/>
  <c r="K47" i="3"/>
  <c r="K28" i="3"/>
  <c r="K30" i="3"/>
  <c r="K16" i="3"/>
  <c r="K18" i="3"/>
  <c r="K22" i="3"/>
  <c r="K52" i="3"/>
  <c r="K97" i="3"/>
  <c r="K82" i="3"/>
  <c r="K57" i="3"/>
  <c r="K63" i="3"/>
  <c r="K84" i="3"/>
  <c r="K99" i="3"/>
  <c r="K101" i="3"/>
  <c r="K110" i="3"/>
  <c r="K126" i="3"/>
  <c r="K127" i="3"/>
  <c r="M127" i="3"/>
  <c r="I46" i="3"/>
  <c r="I47" i="3"/>
  <c r="I30" i="3"/>
  <c r="I16" i="3"/>
  <c r="I18" i="3"/>
  <c r="I22" i="3"/>
  <c r="I52" i="3"/>
  <c r="I97" i="3"/>
  <c r="I82" i="3"/>
  <c r="I57" i="3"/>
  <c r="I63" i="3"/>
  <c r="I84" i="3"/>
  <c r="I99" i="3"/>
  <c r="I101" i="3"/>
  <c r="I110" i="3"/>
  <c r="I126" i="3"/>
  <c r="I127" i="3"/>
  <c r="G47" i="3"/>
  <c r="G30" i="3"/>
  <c r="G9" i="3"/>
  <c r="G16" i="3"/>
  <c r="G18" i="3"/>
  <c r="G20" i="3"/>
  <c r="G22" i="3"/>
  <c r="G52" i="3"/>
  <c r="G91" i="3"/>
  <c r="G97" i="3"/>
  <c r="G82" i="3"/>
  <c r="G57" i="3"/>
  <c r="G63" i="3"/>
  <c r="G84" i="3"/>
  <c r="G99" i="3"/>
  <c r="G101" i="3"/>
  <c r="G110" i="3"/>
  <c r="G126" i="3"/>
  <c r="G127" i="3"/>
  <c r="E47" i="3"/>
  <c r="E30" i="3"/>
  <c r="E9" i="3"/>
  <c r="E16" i="3"/>
  <c r="E18" i="3"/>
  <c r="E22" i="3"/>
  <c r="E52" i="3"/>
  <c r="E91" i="3"/>
  <c r="E97" i="3"/>
  <c r="E82" i="3"/>
  <c r="E57" i="3"/>
  <c r="E63" i="3"/>
  <c r="E84" i="3"/>
  <c r="E99" i="3"/>
  <c r="E101" i="3"/>
  <c r="E110" i="3"/>
  <c r="E126" i="3"/>
  <c r="E127" i="3"/>
  <c r="C47" i="3"/>
  <c r="C30" i="3"/>
  <c r="C9" i="3"/>
  <c r="C16" i="3"/>
  <c r="C18" i="3"/>
  <c r="C22" i="3"/>
  <c r="C52" i="3"/>
  <c r="C97" i="3"/>
  <c r="C82" i="3"/>
  <c r="C57" i="3"/>
  <c r="C63" i="3"/>
  <c r="C84" i="3"/>
  <c r="C99" i="3"/>
  <c r="C101" i="3"/>
  <c r="C110" i="3"/>
  <c r="C126" i="3"/>
  <c r="C127" i="3"/>
  <c r="M126" i="3"/>
  <c r="M124" i="3"/>
  <c r="M123" i="3"/>
  <c r="M119" i="3"/>
  <c r="M110" i="3"/>
  <c r="M108" i="3"/>
  <c r="M107" i="3"/>
  <c r="M105" i="3"/>
  <c r="M104" i="3"/>
  <c r="M103" i="3"/>
  <c r="M101" i="3"/>
  <c r="M99" i="3"/>
  <c r="M97" i="3"/>
  <c r="M96" i="3"/>
  <c r="M95" i="3"/>
  <c r="M94" i="3"/>
  <c r="M93" i="3"/>
  <c r="M92" i="3"/>
  <c r="M91" i="3"/>
  <c r="M90" i="3"/>
  <c r="M89" i="3"/>
  <c r="M88" i="3"/>
  <c r="M87" i="3"/>
  <c r="M84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3" i="3"/>
  <c r="M62" i="3"/>
  <c r="M61" i="3"/>
  <c r="M59" i="3"/>
  <c r="M57" i="3"/>
  <c r="M56" i="3"/>
  <c r="M55" i="3"/>
  <c r="M52" i="3"/>
  <c r="M50" i="3"/>
  <c r="M49" i="3"/>
  <c r="M47" i="3"/>
  <c r="M46" i="3"/>
  <c r="M45" i="3"/>
  <c r="L43" i="3"/>
  <c r="K43" i="3"/>
  <c r="M43" i="3"/>
  <c r="I43" i="3"/>
  <c r="G43" i="3"/>
  <c r="E43" i="3"/>
  <c r="C43" i="3"/>
  <c r="M42" i="3"/>
  <c r="M41" i="3"/>
  <c r="M38" i="3"/>
  <c r="M36" i="3"/>
  <c r="M30" i="3"/>
  <c r="M29" i="3"/>
  <c r="M28" i="3"/>
  <c r="M27" i="3"/>
  <c r="M26" i="3"/>
  <c r="M25" i="3"/>
  <c r="M24" i="3"/>
  <c r="M22" i="3"/>
  <c r="M20" i="3"/>
  <c r="M18" i="3"/>
  <c r="M16" i="3"/>
  <c r="M15" i="3"/>
  <c r="M14" i="3"/>
  <c r="M12" i="3"/>
  <c r="M10" i="3"/>
  <c r="M9" i="3"/>
  <c r="M8" i="3"/>
  <c r="M7" i="3"/>
  <c r="M6" i="3"/>
  <c r="B27" i="2"/>
  <c r="C27" i="2"/>
  <c r="C2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F18" i="2"/>
  <c r="G18" i="2"/>
  <c r="E19" i="2"/>
  <c r="G19" i="2"/>
  <c r="D20" i="2"/>
  <c r="E20" i="2"/>
  <c r="G20" i="2"/>
  <c r="E21" i="2"/>
  <c r="G21" i="2"/>
  <c r="E22" i="2"/>
  <c r="G22" i="2"/>
  <c r="D23" i="2"/>
  <c r="E23" i="2"/>
  <c r="G23" i="2"/>
  <c r="E24" i="2"/>
  <c r="G24" i="2"/>
  <c r="E25" i="2"/>
  <c r="G25" i="2"/>
  <c r="G27" i="2"/>
  <c r="F27" i="2"/>
  <c r="E27" i="2"/>
  <c r="D27" i="2"/>
  <c r="Q130" i="1"/>
  <c r="N127" i="1"/>
  <c r="N131" i="1"/>
  <c r="N139" i="1"/>
  <c r="P45" i="1"/>
  <c r="P41" i="1"/>
  <c r="P42" i="1"/>
  <c r="P89" i="1"/>
  <c r="Q96" i="1"/>
  <c r="Q57" i="1"/>
  <c r="Q81" i="1"/>
  <c r="Q63" i="1"/>
  <c r="Q83" i="1"/>
  <c r="Q98" i="1"/>
  <c r="Q43" i="1"/>
  <c r="Q47" i="1"/>
  <c r="Q28" i="1"/>
  <c r="Q30" i="1"/>
  <c r="Q16" i="1"/>
  <c r="Q18" i="1"/>
  <c r="Q22" i="1"/>
  <c r="Q52" i="1"/>
  <c r="Q100" i="1"/>
  <c r="Q108" i="1"/>
  <c r="Q124" i="1"/>
  <c r="N81" i="1"/>
  <c r="N57" i="1"/>
  <c r="N63" i="1"/>
  <c r="N83" i="1"/>
  <c r="N89" i="1"/>
  <c r="N96" i="1"/>
  <c r="N98" i="1"/>
  <c r="N46" i="1"/>
  <c r="N47" i="1"/>
  <c r="N30" i="1"/>
  <c r="N10" i="1"/>
  <c r="N14" i="1"/>
  <c r="N16" i="1"/>
  <c r="N18" i="1"/>
  <c r="N22" i="1"/>
  <c r="N43" i="1"/>
  <c r="N52" i="1"/>
  <c r="N100" i="1"/>
  <c r="N108" i="1"/>
  <c r="N124" i="1"/>
  <c r="P43" i="1"/>
  <c r="P47" i="1"/>
  <c r="P30" i="1"/>
  <c r="P36" i="1"/>
  <c r="P16" i="1"/>
  <c r="P18" i="1"/>
  <c r="P22" i="1"/>
  <c r="P52" i="1"/>
  <c r="P96" i="1"/>
  <c r="P81" i="1"/>
  <c r="P57" i="1"/>
  <c r="P63" i="1"/>
  <c r="P83" i="1"/>
  <c r="P98" i="1"/>
  <c r="P100" i="1"/>
  <c r="P108" i="1"/>
  <c r="P118" i="1"/>
  <c r="P122" i="1"/>
  <c r="P124" i="1"/>
  <c r="S43" i="1"/>
  <c r="M43" i="1"/>
  <c r="K43" i="1"/>
  <c r="J43" i="1"/>
  <c r="H43" i="1"/>
  <c r="G43" i="1"/>
  <c r="E43" i="1"/>
  <c r="D42" i="1"/>
  <c r="D43" i="1"/>
  <c r="B43" i="1"/>
  <c r="S42" i="1"/>
  <c r="S41" i="1"/>
  <c r="S75" i="1"/>
  <c r="S104" i="1"/>
  <c r="S102" i="1"/>
  <c r="S117" i="1"/>
  <c r="P119" i="1"/>
  <c r="Q119" i="1"/>
  <c r="S87" i="1"/>
  <c r="S116" i="1"/>
  <c r="S88" i="1"/>
  <c r="N119" i="1"/>
  <c r="S124" i="1"/>
  <c r="S119" i="1"/>
  <c r="S108" i="1"/>
  <c r="S100" i="1"/>
  <c r="S98" i="1"/>
  <c r="S96" i="1"/>
  <c r="S83" i="1"/>
  <c r="S81" i="1"/>
  <c r="S63" i="1"/>
  <c r="S57" i="1"/>
  <c r="S52" i="1"/>
  <c r="S47" i="1"/>
  <c r="S30" i="1"/>
  <c r="S22" i="1"/>
  <c r="S18" i="1"/>
  <c r="S16" i="1"/>
  <c r="S122" i="1"/>
  <c r="S121" i="1"/>
  <c r="S118" i="1"/>
  <c r="S50" i="1"/>
  <c r="S36" i="1"/>
  <c r="S8" i="1"/>
  <c r="S9" i="1"/>
  <c r="S10" i="1"/>
  <c r="S12" i="1"/>
  <c r="S7" i="1"/>
  <c r="S14" i="1"/>
  <c r="S15" i="1"/>
  <c r="S25" i="1"/>
  <c r="S24" i="1"/>
  <c r="S26" i="1"/>
  <c r="S27" i="1"/>
  <c r="S28" i="1"/>
  <c r="S29" i="1"/>
  <c r="S20" i="1"/>
  <c r="S45" i="1"/>
  <c r="S46" i="1"/>
  <c r="S49" i="1"/>
  <c r="S38" i="1"/>
  <c r="S70" i="1"/>
  <c r="S71" i="1"/>
  <c r="S65" i="1"/>
  <c r="S66" i="1"/>
  <c r="S67" i="1"/>
  <c r="S69" i="1"/>
  <c r="S73" i="1"/>
  <c r="S74" i="1"/>
  <c r="S78" i="1"/>
  <c r="S79" i="1"/>
  <c r="S76" i="1"/>
  <c r="S80" i="1"/>
  <c r="S68" i="1"/>
  <c r="S72" i="1"/>
  <c r="S77" i="1"/>
  <c r="S55" i="1"/>
  <c r="S56" i="1"/>
  <c r="S59" i="1"/>
  <c r="S61" i="1"/>
  <c r="S62" i="1"/>
  <c r="S86" i="1"/>
  <c r="S91" i="1"/>
  <c r="S93" i="1"/>
  <c r="S95" i="1"/>
  <c r="S94" i="1"/>
  <c r="S92" i="1"/>
  <c r="S89" i="1"/>
  <c r="S90" i="1"/>
  <c r="S106" i="1"/>
  <c r="S103" i="1"/>
  <c r="S105" i="1"/>
  <c r="S107" i="1"/>
  <c r="S6" i="1"/>
  <c r="B25" i="1"/>
  <c r="B30" i="1"/>
  <c r="B47" i="1"/>
  <c r="B36" i="1"/>
  <c r="B22" i="1"/>
  <c r="B52" i="1"/>
  <c r="D46" i="1"/>
  <c r="D47" i="1"/>
  <c r="D29" i="1"/>
  <c r="D30" i="1"/>
  <c r="D18" i="1"/>
  <c r="D22" i="1"/>
  <c r="D52" i="1"/>
  <c r="E47" i="1"/>
  <c r="E30" i="1"/>
  <c r="E9" i="1"/>
  <c r="E16" i="1"/>
  <c r="E18" i="1"/>
  <c r="E22" i="1"/>
  <c r="E52" i="1"/>
  <c r="G47" i="1"/>
  <c r="G29" i="1"/>
  <c r="G30" i="1"/>
  <c r="G18" i="1"/>
  <c r="G22" i="1"/>
  <c r="G52" i="1"/>
  <c r="H47" i="1"/>
  <c r="H30" i="1"/>
  <c r="H9" i="1"/>
  <c r="H16" i="1"/>
  <c r="H18" i="1"/>
  <c r="H22" i="1"/>
  <c r="H52" i="1"/>
  <c r="J47" i="1"/>
  <c r="J30" i="1"/>
  <c r="J16" i="1"/>
  <c r="J18" i="1"/>
  <c r="J22" i="1"/>
  <c r="J52" i="1"/>
  <c r="K47" i="1"/>
  <c r="K30" i="1"/>
  <c r="K9" i="1"/>
  <c r="K16" i="1"/>
  <c r="K18" i="1"/>
  <c r="K20" i="1"/>
  <c r="K22" i="1"/>
  <c r="K52" i="1"/>
  <c r="M47" i="1"/>
  <c r="M30" i="1"/>
  <c r="M16" i="1"/>
  <c r="M18" i="1"/>
  <c r="M22" i="1"/>
  <c r="M52" i="1"/>
  <c r="M96" i="1"/>
  <c r="M81" i="1"/>
  <c r="M57" i="1"/>
  <c r="M63" i="1"/>
  <c r="M83" i="1"/>
  <c r="M98" i="1"/>
  <c r="M100" i="1"/>
  <c r="M108" i="1"/>
  <c r="M119" i="1"/>
  <c r="M124" i="1"/>
  <c r="E57" i="1"/>
  <c r="E63" i="1"/>
  <c r="E81" i="1"/>
  <c r="E83" i="1"/>
  <c r="E96" i="1"/>
  <c r="E98" i="1"/>
  <c r="E100" i="1"/>
  <c r="E108" i="1"/>
  <c r="E119" i="1"/>
  <c r="E124" i="1"/>
  <c r="K90" i="1"/>
  <c r="K96" i="1"/>
  <c r="K81" i="1"/>
  <c r="K57" i="1"/>
  <c r="K63" i="1"/>
  <c r="K83" i="1"/>
  <c r="K98" i="1"/>
  <c r="K100" i="1"/>
  <c r="K108" i="1"/>
  <c r="K119" i="1"/>
  <c r="K124" i="1"/>
  <c r="J96" i="1"/>
  <c r="J81" i="1"/>
  <c r="J57" i="1"/>
  <c r="J63" i="1"/>
  <c r="J83" i="1"/>
  <c r="J98" i="1"/>
  <c r="J100" i="1"/>
  <c r="J108" i="1"/>
  <c r="J119" i="1"/>
  <c r="J124" i="1"/>
  <c r="H90" i="1"/>
  <c r="H81" i="1"/>
  <c r="H63" i="1"/>
  <c r="H57" i="1"/>
  <c r="H83" i="1"/>
  <c r="G81" i="1"/>
  <c r="G57" i="1"/>
  <c r="G63" i="1"/>
  <c r="G83" i="1"/>
  <c r="G96" i="1"/>
  <c r="H96" i="1"/>
  <c r="H98" i="1"/>
  <c r="H100" i="1"/>
  <c r="H108" i="1"/>
  <c r="G98" i="1"/>
  <c r="G100" i="1"/>
  <c r="G108" i="1"/>
  <c r="H119" i="1"/>
  <c r="H124" i="1"/>
  <c r="G119" i="1"/>
  <c r="G124" i="1"/>
  <c r="D80" i="1"/>
  <c r="D96" i="1"/>
  <c r="D63" i="1"/>
  <c r="D57" i="1"/>
  <c r="D83" i="1"/>
  <c r="D98" i="1"/>
  <c r="D100" i="1"/>
  <c r="D108" i="1"/>
  <c r="B63" i="1"/>
  <c r="B57" i="1"/>
  <c r="B83" i="1"/>
  <c r="B86" i="1"/>
  <c r="B96" i="1"/>
  <c r="B98" i="1"/>
  <c r="B100" i="1"/>
  <c r="B108" i="1"/>
  <c r="D119" i="1"/>
  <c r="D124" i="1"/>
  <c r="B111" i="1"/>
  <c r="B112" i="1"/>
  <c r="B114" i="1"/>
</calcChain>
</file>

<file path=xl/sharedStrings.xml><?xml version="1.0" encoding="utf-8"?>
<sst xmlns="http://schemas.openxmlformats.org/spreadsheetml/2006/main" count="332" uniqueCount="229">
  <si>
    <t>Turnover Shop</t>
    <phoneticPr fontId="5" type="noConversion"/>
  </si>
  <si>
    <t>Total Sportswear</t>
  </si>
  <si>
    <t>8th Grade Photo</t>
    <phoneticPr fontId="5" type="noConversion"/>
  </si>
  <si>
    <t>Subtotal</t>
    <phoneticPr fontId="4" type="noConversion"/>
  </si>
  <si>
    <t>Less 7/11 entries (425+3500+60.61-20)</t>
    <phoneticPr fontId="4" type="noConversion"/>
  </si>
  <si>
    <t>Quick Books</t>
    <phoneticPr fontId="4" type="noConversion"/>
  </si>
  <si>
    <t xml:space="preserve">Difference </t>
    <phoneticPr fontId="4" type="noConversion"/>
  </si>
  <si>
    <t>Interest Income</t>
  </si>
  <si>
    <t>Insurance and Taxes</t>
  </si>
  <si>
    <t>Bank Fee</t>
    <phoneticPr fontId="4" type="noConversion"/>
  </si>
  <si>
    <t>Actual</t>
    <phoneticPr fontId="4" type="noConversion"/>
  </si>
  <si>
    <t>2012-2013</t>
  </si>
  <si>
    <t>TOTAL PROGRAM EXPENSES</t>
    <phoneticPr fontId="5" type="noConversion"/>
  </si>
  <si>
    <t>Fundraising Appeal Expenses</t>
    <phoneticPr fontId="4" type="noConversion"/>
  </si>
  <si>
    <t>QSP Renewal Income</t>
    <phoneticPr fontId="4" type="noConversion"/>
  </si>
  <si>
    <t>Total PTA Expenses</t>
    <phoneticPr fontId="4" type="noConversion"/>
  </si>
  <si>
    <t>Student Enrichment - Scott Driscol</t>
    <phoneticPr fontId="4" type="noConversion"/>
  </si>
  <si>
    <t>2013-2014</t>
    <phoneticPr fontId="4" type="noConversion"/>
  </si>
  <si>
    <t>Remembrances / Honor/ Retirement Gifts</t>
    <phoneticPr fontId="5" type="noConversion"/>
  </si>
  <si>
    <t>INCOME</t>
    <phoneticPr fontId="4" type="noConversion"/>
  </si>
  <si>
    <t>6-7th Gr Activity Night Expenses</t>
  </si>
  <si>
    <t>6-7th Gr Activity Night Entry Fees</t>
  </si>
  <si>
    <t>Activity Night Net</t>
  </si>
  <si>
    <t xml:space="preserve">8th Grade Dinner Dance Expenses </t>
    <phoneticPr fontId="5" type="noConversion"/>
  </si>
  <si>
    <t>Actual</t>
    <phoneticPr fontId="5" type="noConversion"/>
  </si>
  <si>
    <t>Net Fundraising Appeal Income</t>
    <phoneticPr fontId="4" type="noConversion"/>
  </si>
  <si>
    <t>TOTAL INCOME</t>
    <phoneticPr fontId="4" type="noConversion"/>
  </si>
  <si>
    <t>Hospitality/Teacher Appreciation</t>
    <phoneticPr fontId="5" type="noConversion"/>
  </si>
  <si>
    <t>New Parent Coffee</t>
    <phoneticPr fontId="4" type="noConversion"/>
  </si>
  <si>
    <t>2014-2015</t>
    <phoneticPr fontId="4" type="noConversion"/>
  </si>
  <si>
    <t>Community Outreach (WYC)</t>
    <phoneticPr fontId="4" type="noConversion"/>
  </si>
  <si>
    <t>President's Fund - Super Gift/ New Sup Rec.</t>
    <phoneticPr fontId="4" type="noConversion"/>
  </si>
  <si>
    <t>Reconcilation Per Maria Wilcox</t>
    <phoneticPr fontId="4" type="noConversion"/>
  </si>
  <si>
    <t>Total PTA Administrative Expenses</t>
    <phoneticPr fontId="4" type="noConversion"/>
  </si>
  <si>
    <t>Middlebrook Messenger</t>
  </si>
  <si>
    <t>Outreach-</t>
    <phoneticPr fontId="5" type="noConversion"/>
  </si>
  <si>
    <t>Net Income (Before PY Activity)</t>
    <phoneticPr fontId="4" type="noConversion"/>
  </si>
  <si>
    <t>8th Grade Dinner Dance Net</t>
  </si>
  <si>
    <t>Actual</t>
    <phoneticPr fontId="4" type="noConversion"/>
  </si>
  <si>
    <t>Directory Sales Income</t>
  </si>
  <si>
    <t>Directory. Expenses</t>
  </si>
  <si>
    <t>Photographs</t>
  </si>
  <si>
    <t>Music in the Park</t>
    <phoneticPr fontId="5" type="noConversion"/>
  </si>
  <si>
    <t>Income before Gifts and Grants</t>
    <phoneticPr fontId="4" type="noConversion"/>
  </si>
  <si>
    <t>PTA Administrative Expenses</t>
  </si>
  <si>
    <t>Sportswear. -Cost of goods sold</t>
  </si>
  <si>
    <t>Team Grants</t>
    <phoneticPr fontId="5" type="noConversion"/>
  </si>
  <si>
    <t>Blue Ribbon Celebration (New!!)</t>
    <phoneticPr fontId="4" type="noConversion"/>
  </si>
  <si>
    <t>Direct Money - Cash/Checks</t>
    <phoneticPr fontId="4" type="noConversion"/>
  </si>
  <si>
    <t>Fundraising Appeal (GROSS)</t>
    <phoneticPr fontId="5" type="noConversion"/>
  </si>
  <si>
    <t>2011- JBF; 2012 - PTA Coucil</t>
    <phoneticPr fontId="5" type="noConversion"/>
  </si>
  <si>
    <t>7/11 to 6/12</t>
    <phoneticPr fontId="5" type="noConversion"/>
  </si>
  <si>
    <t>Middlebrook PTA</t>
    <phoneticPr fontId="4" type="noConversion"/>
  </si>
  <si>
    <t>Science Fair</t>
  </si>
  <si>
    <t>Talent Show</t>
    <phoneticPr fontId="4" type="noConversion"/>
  </si>
  <si>
    <t>8th Grade T-Shirt</t>
    <phoneticPr fontId="4" type="noConversion"/>
  </si>
  <si>
    <t>Program Expenses</t>
  </si>
  <si>
    <t>Donations to WSFAC</t>
  </si>
  <si>
    <t>8th Grade Dinner Dance Ticket Sales</t>
  </si>
  <si>
    <t>Ice Cream Social 6-7th Grade</t>
  </si>
  <si>
    <t>Donations to PTA</t>
  </si>
  <si>
    <t>Budget</t>
  </si>
  <si>
    <t>Soaring Ahead Expenses</t>
    <phoneticPr fontId="4" type="noConversion"/>
  </si>
  <si>
    <t>Talent Show Stipend (Teacher)</t>
    <phoneticPr fontId="4" type="noConversion"/>
  </si>
  <si>
    <t>Soaring Ahead - Video Stipend (Teacher)</t>
    <phoneticPr fontId="4" type="noConversion"/>
  </si>
  <si>
    <t>Difference</t>
  </si>
  <si>
    <t>15-16</t>
  </si>
  <si>
    <t>Cash</t>
  </si>
  <si>
    <t>Cash Ops</t>
  </si>
  <si>
    <t>Cash Fund</t>
  </si>
  <si>
    <t>PayPal</t>
  </si>
  <si>
    <t>8th Grade Dinner Dance Custodian</t>
  </si>
  <si>
    <t xml:space="preserve">Operating </t>
  </si>
  <si>
    <t>PTA Relfections 2016</t>
  </si>
  <si>
    <t>Cash Rec</t>
  </si>
  <si>
    <t>Cash Balance</t>
  </si>
  <si>
    <t>Less reserve</t>
  </si>
  <si>
    <t xml:space="preserve">PTA Membership Dues/Mobil Arq </t>
  </si>
  <si>
    <t>MobilArq Fees</t>
  </si>
  <si>
    <t>Total PTA Membership /Directory</t>
  </si>
  <si>
    <t>Net Income/(Loss)</t>
  </si>
  <si>
    <t>PTA Dues Paid to CT ($5.5 per mem.)</t>
  </si>
  <si>
    <t>MobilArq Finance Charge (3%)</t>
  </si>
  <si>
    <t>Gross Donations via MobilArq</t>
  </si>
  <si>
    <t>Less Mobil Arq Finance Charge (3%)</t>
  </si>
  <si>
    <t>Direct Money - MobileArq (Gross)</t>
  </si>
  <si>
    <t>Direct Money - Pay Pal (Gross)</t>
  </si>
  <si>
    <t>PayPal/MobileArq Fees</t>
  </si>
  <si>
    <t>PTA G&amp;G  Enrichment Approved 15-16</t>
  </si>
  <si>
    <t>Wrapping/Catalog/shutterfly</t>
  </si>
  <si>
    <t>Less Cost of Wrapping Paper</t>
  </si>
  <si>
    <t>Corporate Match</t>
  </si>
  <si>
    <t>Total Wrapping/Catalog/Shutterfly</t>
  </si>
  <si>
    <t>Total Fundraising</t>
  </si>
  <si>
    <t>PTA Gift and Grants 17-18</t>
  </si>
  <si>
    <t>PY Or FY Activity Pd in Current Yr</t>
  </si>
  <si>
    <t>Reusable Bags Reimbursment</t>
  </si>
  <si>
    <t>Reusable Bags Cost</t>
  </si>
  <si>
    <t>Less Restricted 16-17</t>
  </si>
  <si>
    <t>Less Restricuted 17-18</t>
  </si>
  <si>
    <t>Subtotal</t>
  </si>
  <si>
    <t>17-18</t>
  </si>
  <si>
    <t>Quickbooks Subscription</t>
  </si>
  <si>
    <t>#1879 Chartwells Dining Ice Cream Social</t>
  </si>
  <si>
    <t>#1877 Janet Siegel 8th Grade DD</t>
  </si>
  <si>
    <t>Website Hosting</t>
  </si>
  <si>
    <t>Prelim</t>
  </si>
  <si>
    <t>Notes</t>
  </si>
  <si>
    <t>Teacher Appreciation</t>
  </si>
  <si>
    <t>PTA Gift and Grants 18-19</t>
  </si>
  <si>
    <t>PTA Visiting Author 17-18</t>
  </si>
  <si>
    <t>PTA Visiting Author 18-19</t>
  </si>
  <si>
    <t>Odyssey of the Mind</t>
  </si>
  <si>
    <t>Chromebook. -Cost of goods sold</t>
  </si>
  <si>
    <t>Total Chromebook</t>
  </si>
  <si>
    <t>Sportswear - Income (Net)</t>
  </si>
  <si>
    <t>Chromebook Income (Net)</t>
  </si>
  <si>
    <t>PY Cash Balance (Informational Only)</t>
  </si>
  <si>
    <t>FYTD Actuals 9-15-17</t>
  </si>
  <si>
    <t>#1887 Chartwells Dining Teacher Appreciation</t>
  </si>
  <si>
    <t>#1896 Nicola Davies Chromebook Covers</t>
  </si>
  <si>
    <t>#1898 Alison Luciano Return Gym Clothes</t>
  </si>
  <si>
    <t>#1899 Joanna Schubkegel Return Chromebook Cover</t>
  </si>
  <si>
    <t>#1900 Jim Longcoy Climbing Equipment</t>
  </si>
  <si>
    <t>Remaining Cash at 9/15/17</t>
  </si>
  <si>
    <t>Middlebrook PTA</t>
  </si>
  <si>
    <t>Gifts and Grants Cash 2017-2018</t>
  </si>
  <si>
    <t>UPDATED</t>
  </si>
  <si>
    <t>The following amounts will be spent in the 17-18 school year.  Amounts were voted and</t>
  </si>
  <si>
    <t>approved on May 18, 2017 PTA meeting</t>
  </si>
  <si>
    <t>17-18 Grant</t>
  </si>
  <si>
    <t>Grant</t>
  </si>
  <si>
    <t>Less: Amt</t>
  </si>
  <si>
    <t>Plus: 16-17</t>
  </si>
  <si>
    <t>Total</t>
  </si>
  <si>
    <t>Spent in</t>
  </si>
  <si>
    <t>Gift Grant Program</t>
  </si>
  <si>
    <t>Amount</t>
  </si>
  <si>
    <t>Pd in 16-17</t>
  </si>
  <si>
    <t>Carryover</t>
  </si>
  <si>
    <t>Restricted</t>
  </si>
  <si>
    <t>Restricted Cash</t>
  </si>
  <si>
    <t>World Language Assemblies</t>
  </si>
  <si>
    <t>Beyond Me - Holocaust</t>
    <phoneticPr fontId="0" type="noConversion"/>
  </si>
  <si>
    <t>Shakesperience WkShp</t>
    <phoneticPr fontId="0" type="noConversion"/>
  </si>
  <si>
    <t xml:space="preserve">Bird of Prey </t>
    <phoneticPr fontId="0" type="noConversion"/>
  </si>
  <si>
    <t>Chariots of the Sun Assembly</t>
  </si>
  <si>
    <t>Global Action Unit</t>
  </si>
  <si>
    <t>Power of One</t>
  </si>
  <si>
    <t>Hanging System</t>
  </si>
  <si>
    <t>Project Adventure</t>
  </si>
  <si>
    <t>Malmark Chimes</t>
  </si>
  <si>
    <t>Outdoor Classroom</t>
  </si>
  <si>
    <t>Onstage/Backstage AV Equipment</t>
  </si>
  <si>
    <t>Flexible Seating MB School</t>
  </si>
  <si>
    <t>Artlinks</t>
  </si>
  <si>
    <t>Visiting Author</t>
  </si>
  <si>
    <t>Flexible Seating: Library</t>
  </si>
  <si>
    <t>2017-2018 Budget Worksheet</t>
  </si>
  <si>
    <t>Actual</t>
    <phoneticPr fontId="4" type="noConversion"/>
  </si>
  <si>
    <t>16-17</t>
  </si>
  <si>
    <t>Reason (see Budget Notes + detail)</t>
  </si>
  <si>
    <t>INCOME</t>
    <phoneticPr fontId="4" type="noConversion"/>
  </si>
  <si>
    <t>Determine what fundraising</t>
  </si>
  <si>
    <t>will be done to accurately</t>
  </si>
  <si>
    <t>forcast.  I forecasted letter</t>
  </si>
  <si>
    <t xml:space="preserve">appeal only.  Based on prior </t>
  </si>
  <si>
    <t>years.</t>
  </si>
  <si>
    <t>conservative based on py</t>
  </si>
  <si>
    <t>QSP Renewal Income</t>
    <phoneticPr fontId="4" type="noConversion"/>
  </si>
  <si>
    <t>Based Prior years - $20 per member.  375 members</t>
  </si>
  <si>
    <t>Same as last year</t>
  </si>
  <si>
    <t>3% of Gross Dues</t>
  </si>
  <si>
    <t>$5.5 per member 375*$5.50</t>
  </si>
  <si>
    <t xml:space="preserve">Do not budget </t>
  </si>
  <si>
    <t>Conservative</t>
  </si>
  <si>
    <t xml:space="preserve">4 yr average </t>
  </si>
  <si>
    <t>Chromebook - Income</t>
  </si>
  <si>
    <t>Chromebook -Cost of goods sold</t>
  </si>
  <si>
    <t>Sportswear - Income</t>
  </si>
  <si>
    <t>Turnover Shop</t>
    <phoneticPr fontId="5" type="noConversion"/>
  </si>
  <si>
    <t>3 year Average</t>
  </si>
  <si>
    <t>2011- JBF; 2016 - PTA Coucil</t>
  </si>
  <si>
    <t>One time</t>
  </si>
  <si>
    <t>TOTAL INCOME</t>
    <phoneticPr fontId="4" type="noConversion"/>
  </si>
  <si>
    <t>Same as previous years budgets</t>
  </si>
  <si>
    <t>Based on 3 year average of Fall fun nights only</t>
  </si>
  <si>
    <t>Constant</t>
  </si>
  <si>
    <t xml:space="preserve">8th Grade Dinner Dance Expenses </t>
    <phoneticPr fontId="5" type="noConversion"/>
  </si>
  <si>
    <t>Back into number</t>
  </si>
  <si>
    <t>$25 per ticket. 311 kids 90% particpation</t>
  </si>
  <si>
    <t>Net Expenses constant at $2000</t>
  </si>
  <si>
    <t>Tech Expo Support</t>
    <phoneticPr fontId="4" type="noConversion"/>
  </si>
  <si>
    <t>No Budget.  No expenses 17-18</t>
  </si>
  <si>
    <t>Talent Show</t>
    <phoneticPr fontId="4" type="noConversion"/>
  </si>
  <si>
    <t>See Buget notes</t>
  </si>
  <si>
    <t>4 yr avg. round up.</t>
  </si>
  <si>
    <t>See Buget Notes</t>
  </si>
  <si>
    <t>Assumes 5 teams</t>
  </si>
  <si>
    <t># of students constant. Last Yr. Amt</t>
  </si>
  <si>
    <t>Soaring Ahead Expenses</t>
    <phoneticPr fontId="4" type="noConversion"/>
  </si>
  <si>
    <t>4 yr. avg round up</t>
  </si>
  <si>
    <t>Talent Show Stipend (Teacher)</t>
    <phoneticPr fontId="4" type="noConversion"/>
  </si>
  <si>
    <t>$300 per team - 9 teams</t>
  </si>
  <si>
    <t>Subtotal</t>
    <phoneticPr fontId="4" type="noConversion"/>
  </si>
  <si>
    <t>TOTAL PROGRAM EXPENSES</t>
    <phoneticPr fontId="5" type="noConversion"/>
  </si>
  <si>
    <t>$480 Insurance (incl Media coverage, $475 CPA</t>
  </si>
  <si>
    <t>New this year (Est per Nicola D)</t>
  </si>
  <si>
    <t>New this year</t>
  </si>
  <si>
    <t>Bank Fee</t>
    <phoneticPr fontId="4" type="noConversion"/>
  </si>
  <si>
    <t>Place Holder.  Stuff Happens</t>
  </si>
  <si>
    <t>Average last 2 years</t>
  </si>
  <si>
    <t>Community Outreach (WYC)</t>
    <phoneticPr fontId="4" type="noConversion"/>
  </si>
  <si>
    <t>Total PTA Administrative Expenses</t>
    <phoneticPr fontId="4" type="noConversion"/>
  </si>
  <si>
    <t>Income before Gifts and Grants</t>
    <phoneticPr fontId="4" type="noConversion"/>
  </si>
  <si>
    <t xml:space="preserve">This 15K and 5K is the amount that </t>
  </si>
  <si>
    <t>PTA Visiting Author</t>
  </si>
  <si>
    <t>will be approved next May for the 18-19</t>
  </si>
  <si>
    <t>school year</t>
  </si>
  <si>
    <t>Full cost bags to be reimbursed in 17-18</t>
  </si>
  <si>
    <t>Net Income (Before PY Activity)</t>
    <phoneticPr fontId="4" type="noConversion"/>
  </si>
  <si>
    <t>Quick Books</t>
    <phoneticPr fontId="4" type="noConversion"/>
  </si>
  <si>
    <t>PY Cash Balance</t>
  </si>
  <si>
    <t>16-17 bill not received before YE</t>
  </si>
  <si>
    <t>Ice Cream Social</t>
    <phoneticPr fontId="4" type="noConversion"/>
  </si>
  <si>
    <t>School Gift</t>
    <phoneticPr fontId="4" type="noConversion"/>
  </si>
  <si>
    <t>Prior Year Expense VOID CH</t>
  </si>
  <si>
    <t>Gifts and Grants (Library/Kinding/MakerBot)</t>
  </si>
  <si>
    <t>Team Grants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</si>
</sst>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8"/>
      <color indexed="8"/>
      <name val="Arial"/>
    </font>
    <font>
      <b/>
      <sz val="14"/>
      <color indexed="8"/>
      <name val="Arial"/>
    </font>
    <font>
      <sz val="12"/>
      <color indexed="8"/>
      <name val="Arial"/>
    </font>
    <font>
      <b/>
      <sz val="14"/>
      <name val="Arial"/>
    </font>
    <font>
      <sz val="14"/>
      <name val="Arial"/>
    </font>
    <font>
      <b/>
      <u/>
      <sz val="14"/>
      <color indexed="8"/>
      <name val="Arial"/>
    </font>
    <font>
      <sz val="14"/>
      <color indexed="8"/>
      <name val="Arial"/>
    </font>
    <font>
      <u/>
      <sz val="14"/>
      <color indexed="8"/>
      <name val="Arial"/>
    </font>
    <font>
      <b/>
      <u/>
      <sz val="14"/>
      <name val="Arial"/>
    </font>
    <font>
      <b/>
      <sz val="12"/>
      <color indexed="8"/>
      <name val="Arial"/>
    </font>
    <font>
      <b/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theme="0"/>
      <name val="Verdana"/>
    </font>
    <font>
      <b/>
      <sz val="14"/>
      <name val="Arial"/>
      <family val="2"/>
    </font>
    <font>
      <sz val="10"/>
      <name val="Verdana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singleAccounting"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Verdana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/>
    <xf numFmtId="49" fontId="7" fillId="0" borderId="0" xfId="0" applyNumberFormat="1" applyFont="1"/>
    <xf numFmtId="39" fontId="6" fillId="0" borderId="0" xfId="0" applyNumberFormat="1" applyFont="1"/>
    <xf numFmtId="49" fontId="6" fillId="0" borderId="0" xfId="0" applyNumberFormat="1" applyFont="1"/>
    <xf numFmtId="49" fontId="8" fillId="0" borderId="1" xfId="0" applyNumberFormat="1" applyFont="1" applyBorder="1" applyAlignment="1">
      <alignment horizontal="centerContinuous"/>
    </xf>
    <xf numFmtId="0" fontId="9" fillId="0" borderId="0" xfId="0" applyFont="1"/>
    <xf numFmtId="44" fontId="8" fillId="0" borderId="0" xfId="1" applyNumberFormat="1" applyFont="1" applyFill="1" applyBorder="1" applyAlignment="1">
      <alignment horizontal="centerContinuous"/>
    </xf>
    <xf numFmtId="0" fontId="9" fillId="0" borderId="0" xfId="0" applyNumberFormat="1" applyFont="1"/>
    <xf numFmtId="49" fontId="6" fillId="0" borderId="2" xfId="0" applyNumberFormat="1" applyFont="1" applyBorder="1" applyAlignment="1">
      <alignment horizontal="center"/>
    </xf>
    <xf numFmtId="44" fontId="8" fillId="0" borderId="7" xfId="1" applyNumberFormat="1" applyFont="1" applyBorder="1" applyAlignment="1">
      <alignment horizontal="center"/>
    </xf>
    <xf numFmtId="14" fontId="8" fillId="0" borderId="7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/>
    <xf numFmtId="44" fontId="9" fillId="0" borderId="0" xfId="1" applyNumberFormat="1" applyFont="1"/>
    <xf numFmtId="44" fontId="9" fillId="0" borderId="0" xfId="1" applyFont="1" applyAlignment="1">
      <alignment horizontal="left"/>
    </xf>
    <xf numFmtId="39" fontId="11" fillId="0" borderId="0" xfId="0" applyNumberFormat="1" applyFont="1"/>
    <xf numFmtId="39" fontId="9" fillId="0" borderId="0" xfId="0" applyNumberFormat="1" applyFont="1"/>
    <xf numFmtId="39" fontId="9" fillId="0" borderId="0" xfId="1" applyNumberFormat="1" applyFont="1"/>
    <xf numFmtId="39" fontId="9" fillId="0" borderId="0" xfId="1" applyNumberFormat="1" applyFont="1" applyAlignment="1">
      <alignment wrapText="1"/>
    </xf>
    <xf numFmtId="39" fontId="9" fillId="0" borderId="0" xfId="1" applyNumberFormat="1" applyFont="1" applyAlignment="1"/>
    <xf numFmtId="39" fontId="9" fillId="0" borderId="5" xfId="1" applyNumberFormat="1" applyFont="1" applyBorder="1"/>
    <xf numFmtId="39" fontId="9" fillId="0" borderId="5" xfId="1" applyNumberFormat="1" applyFont="1" applyBorder="1" applyAlignment="1"/>
    <xf numFmtId="39" fontId="6" fillId="0" borderId="3" xfId="0" applyNumberFormat="1" applyFont="1" applyBorder="1"/>
    <xf numFmtId="39" fontId="8" fillId="0" borderId="0" xfId="1" applyNumberFormat="1" applyFont="1"/>
    <xf numFmtId="39" fontId="8" fillId="0" borderId="0" xfId="1" applyNumberFormat="1" applyFont="1" applyAlignment="1"/>
    <xf numFmtId="39" fontId="8" fillId="0" borderId="3" xfId="1" applyNumberFormat="1" applyFont="1" applyBorder="1"/>
    <xf numFmtId="39" fontId="8" fillId="0" borderId="3" xfId="1" applyNumberFormat="1" applyFont="1" applyBorder="1" applyAlignment="1"/>
    <xf numFmtId="39" fontId="9" fillId="0" borderId="5" xfId="1" applyNumberFormat="1" applyFont="1" applyBorder="1" applyAlignment="1">
      <alignment wrapText="1"/>
    </xf>
    <xf numFmtId="0" fontId="8" fillId="0" borderId="0" xfId="0" applyNumberFormat="1" applyFont="1"/>
    <xf numFmtId="39" fontId="6" fillId="0" borderId="4" xfId="0" applyNumberFormat="1" applyFont="1" applyBorder="1"/>
    <xf numFmtId="39" fontId="8" fillId="0" borderId="4" xfId="1" applyNumberFormat="1" applyFont="1" applyBorder="1"/>
    <xf numFmtId="49" fontId="11" fillId="0" borderId="0" xfId="0" applyNumberFormat="1" applyFont="1"/>
    <xf numFmtId="39" fontId="9" fillId="0" borderId="6" xfId="1" applyNumberFormat="1" applyFont="1" applyBorder="1"/>
    <xf numFmtId="39" fontId="11" fillId="0" borderId="0" xfId="1" applyNumberFormat="1" applyFont="1"/>
    <xf numFmtId="39" fontId="9" fillId="0" borderId="6" xfId="1" applyNumberFormat="1" applyFont="1" applyBorder="1" applyAlignment="1"/>
    <xf numFmtId="39" fontId="9" fillId="0" borderId="4" xfId="1" applyNumberFormat="1" applyFont="1" applyBorder="1"/>
    <xf numFmtId="39" fontId="9" fillId="0" borderId="4" xfId="1" applyNumberFormat="1" applyFont="1" applyBorder="1" applyAlignment="1"/>
    <xf numFmtId="0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/>
    <xf numFmtId="39" fontId="11" fillId="0" borderId="0" xfId="0" applyNumberFormat="1" applyFont="1" applyBorder="1"/>
    <xf numFmtId="39" fontId="11" fillId="0" borderId="0" xfId="1" applyNumberFormat="1" applyFont="1" applyAlignment="1"/>
    <xf numFmtId="3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NumberFormat="1" applyFont="1"/>
    <xf numFmtId="39" fontId="6" fillId="0" borderId="0" xfId="0" applyNumberFormat="1" applyFont="1" applyBorder="1"/>
    <xf numFmtId="39" fontId="8" fillId="0" borderId="0" xfId="1" applyNumberFormat="1" applyFont="1" applyBorder="1"/>
    <xf numFmtId="39" fontId="8" fillId="0" borderId="0" xfId="1" applyNumberFormat="1" applyFont="1" applyBorder="1" applyAlignment="1"/>
    <xf numFmtId="39" fontId="6" fillId="0" borderId="6" xfId="0" applyNumberFormat="1" applyFont="1" applyBorder="1"/>
    <xf numFmtId="44" fontId="8" fillId="0" borderId="0" xfId="1" applyNumberFormat="1" applyFont="1" applyAlignment="1">
      <alignment horizontal="center"/>
    </xf>
    <xf numFmtId="39" fontId="9" fillId="0" borderId="0" xfId="1" applyNumberFormat="1" applyFont="1" applyBorder="1"/>
    <xf numFmtId="43" fontId="9" fillId="0" borderId="0" xfId="0" applyNumberFormat="1" applyFont="1" applyAlignment="1">
      <alignment horizontal="left"/>
    </xf>
    <xf numFmtId="43" fontId="9" fillId="0" borderId="0" xfId="2" applyFont="1" applyAlignment="1">
      <alignment horizontal="left"/>
    </xf>
    <xf numFmtId="44" fontId="0" fillId="0" borderId="0" xfId="1" applyFont="1"/>
    <xf numFmtId="0" fontId="0" fillId="0" borderId="0" xfId="0" applyAlignment="1">
      <alignment horizontal="right"/>
    </xf>
    <xf numFmtId="44" fontId="0" fillId="0" borderId="4" xfId="1" applyFont="1" applyBorder="1"/>
    <xf numFmtId="39" fontId="8" fillId="0" borderId="0" xfId="1" applyNumberFormat="1" applyFont="1" applyFill="1" applyAlignment="1"/>
    <xf numFmtId="39" fontId="8" fillId="0" borderId="3" xfId="1" applyNumberFormat="1" applyFont="1" applyFill="1" applyBorder="1" applyAlignment="1"/>
    <xf numFmtId="39" fontId="8" fillId="0" borderId="3" xfId="1" applyNumberFormat="1" applyFont="1" applyFill="1" applyBorder="1"/>
    <xf numFmtId="39" fontId="8" fillId="0" borderId="0" xfId="1" applyNumberFormat="1" applyFont="1" applyFill="1"/>
    <xf numFmtId="39" fontId="9" fillId="0" borderId="0" xfId="1" applyNumberFormat="1" applyFont="1" applyFill="1"/>
    <xf numFmtId="49" fontId="14" fillId="0" borderId="0" xfId="0" applyNumberFormat="1" applyFont="1"/>
    <xf numFmtId="49" fontId="11" fillId="0" borderId="0" xfId="0" applyNumberFormat="1" applyFont="1" applyAlignment="1">
      <alignment horizontal="right"/>
    </xf>
    <xf numFmtId="39" fontId="9" fillId="0" borderId="8" xfId="1" applyNumberFormat="1" applyFont="1" applyBorder="1" applyAlignment="1"/>
    <xf numFmtId="0" fontId="9" fillId="0" borderId="8" xfId="0" applyNumberFormat="1" applyFont="1" applyBorder="1"/>
    <xf numFmtId="39" fontId="9" fillId="0" borderId="0" xfId="1" applyNumberFormat="1" applyFont="1" applyBorder="1" applyAlignment="1"/>
    <xf numFmtId="39" fontId="9" fillId="0" borderId="0" xfId="1" applyNumberFormat="1" applyFont="1" applyFill="1" applyBorder="1"/>
    <xf numFmtId="14" fontId="0" fillId="0" borderId="0" xfId="0" applyNumberFormat="1"/>
    <xf numFmtId="0" fontId="0" fillId="0" borderId="0" xfId="0" applyBorder="1"/>
    <xf numFmtId="0" fontId="1" fillId="0" borderId="0" xfId="0" applyFont="1"/>
    <xf numFmtId="44" fontId="0" fillId="0" borderId="4" xfId="0" applyNumberFormat="1" applyBorder="1"/>
    <xf numFmtId="44" fontId="9" fillId="0" borderId="0" xfId="1" applyFont="1" applyAlignment="1">
      <alignment wrapText="1"/>
    </xf>
    <xf numFmtId="44" fontId="9" fillId="0" borderId="6" xfId="1" applyFont="1" applyBorder="1"/>
    <xf numFmtId="44" fontId="9" fillId="0" borderId="0" xfId="1" applyFont="1" applyBorder="1"/>
    <xf numFmtId="44" fontId="9" fillId="0" borderId="0" xfId="1" applyFont="1" applyAlignment="1"/>
    <xf numFmtId="44" fontId="9" fillId="0" borderId="5" xfId="1" applyFont="1" applyBorder="1" applyAlignment="1"/>
    <xf numFmtId="44" fontId="8" fillId="0" borderId="0" xfId="1" applyFont="1"/>
    <xf numFmtId="44" fontId="8" fillId="0" borderId="3" xfId="1" applyFont="1" applyBorder="1" applyAlignment="1"/>
    <xf numFmtId="44" fontId="8" fillId="0" borderId="0" xfId="1" applyFont="1" applyAlignment="1"/>
    <xf numFmtId="44" fontId="9" fillId="0" borderId="8" xfId="1" applyFont="1" applyBorder="1" applyAlignment="1"/>
    <xf numFmtId="44" fontId="8" fillId="0" borderId="3" xfId="1" applyFont="1" applyFill="1" applyBorder="1" applyAlignment="1"/>
    <xf numFmtId="44" fontId="8" fillId="0" borderId="0" xfId="1" applyFont="1" applyBorder="1" applyAlignment="1"/>
    <xf numFmtId="44" fontId="9" fillId="0" borderId="5" xfId="1" applyFont="1" applyBorder="1" applyAlignment="1">
      <alignment wrapText="1"/>
    </xf>
    <xf numFmtId="44" fontId="6" fillId="0" borderId="6" xfId="1" applyFont="1" applyBorder="1"/>
    <xf numFmtId="44" fontId="9" fillId="0" borderId="0" xfId="1" applyFont="1" applyBorder="1" applyAlignment="1"/>
    <xf numFmtId="44" fontId="8" fillId="0" borderId="4" xfId="1" applyFont="1" applyBorder="1"/>
    <xf numFmtId="44" fontId="11" fillId="0" borderId="0" xfId="1" applyFont="1" applyAlignment="1"/>
    <xf numFmtId="44" fontId="9" fillId="0" borderId="6" xfId="1" applyFont="1" applyBorder="1" applyAlignment="1"/>
    <xf numFmtId="44" fontId="9" fillId="0" borderId="4" xfId="1" applyFont="1" applyBorder="1" applyAlignment="1"/>
    <xf numFmtId="0" fontId="18" fillId="2" borderId="0" xfId="0" applyFont="1" applyFill="1" applyAlignment="1">
      <alignment horizontal="center"/>
    </xf>
    <xf numFmtId="44" fontId="0" fillId="0" borderId="0" xfId="1" applyFont="1" applyBorder="1"/>
    <xf numFmtId="44" fontId="0" fillId="0" borderId="8" xfId="1" applyFont="1" applyBorder="1"/>
    <xf numFmtId="39" fontId="11" fillId="0" borderId="5" xfId="0" applyNumberFormat="1" applyFont="1" applyBorder="1"/>
    <xf numFmtId="0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44" fontId="9" fillId="0" borderId="0" xfId="1" applyFont="1" applyBorder="1" applyAlignment="1">
      <alignment horizontal="left"/>
    </xf>
    <xf numFmtId="44" fontId="9" fillId="0" borderId="0" xfId="1" applyFont="1" applyBorder="1" applyAlignment="1">
      <alignment wrapText="1"/>
    </xf>
    <xf numFmtId="44" fontId="8" fillId="0" borderId="0" xfId="1" applyFont="1" applyBorder="1"/>
    <xf numFmtId="44" fontId="8" fillId="0" borderId="0" xfId="1" applyFont="1" applyFill="1" applyBorder="1" applyAlignment="1"/>
    <xf numFmtId="44" fontId="6" fillId="0" borderId="0" xfId="1" applyFont="1" applyBorder="1"/>
    <xf numFmtId="44" fontId="11" fillId="0" borderId="0" xfId="1" applyFont="1" applyBorder="1" applyAlignment="1"/>
    <xf numFmtId="43" fontId="9" fillId="0" borderId="0" xfId="2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14" fontId="0" fillId="0" borderId="0" xfId="0" applyNumberFormat="1" applyBorder="1"/>
    <xf numFmtId="14" fontId="15" fillId="0" borderId="0" xfId="0" applyNumberFormat="1" applyFont="1" applyAlignment="1">
      <alignment horizontal="center"/>
    </xf>
    <xf numFmtId="0" fontId="4" fillId="0" borderId="0" xfId="0" applyFont="1" applyBorder="1"/>
    <xf numFmtId="0" fontId="19" fillId="0" borderId="0" xfId="0" applyNumberFormat="1" applyFont="1" applyAlignment="1">
      <alignment horizontal="center"/>
    </xf>
    <xf numFmtId="0" fontId="19" fillId="0" borderId="0" xfId="0" applyNumberFormat="1" applyFont="1"/>
    <xf numFmtId="44" fontId="0" fillId="3" borderId="0" xfId="1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9" fillId="3" borderId="0" xfId="0" applyNumberFormat="1" applyFont="1" applyFill="1" applyAlignment="1">
      <alignment horizontal="left"/>
    </xf>
    <xf numFmtId="0" fontId="20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center"/>
    </xf>
    <xf numFmtId="44" fontId="0" fillId="3" borderId="0" xfId="1" applyFont="1" applyFill="1" applyBorder="1"/>
    <xf numFmtId="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4" fontId="21" fillId="0" borderId="7" xfId="1" applyNumberFormat="1" applyFont="1" applyBorder="1" applyAlignment="1">
      <alignment horizontal="center"/>
    </xf>
    <xf numFmtId="44" fontId="21" fillId="0" borderId="0" xfId="1" applyFont="1" applyAlignment="1">
      <alignment horizontal="left"/>
    </xf>
    <xf numFmtId="44" fontId="21" fillId="0" borderId="0" xfId="1" applyFont="1" applyAlignment="1">
      <alignment wrapText="1"/>
    </xf>
    <xf numFmtId="44" fontId="21" fillId="0" borderId="6" xfId="1" applyFont="1" applyBorder="1"/>
    <xf numFmtId="44" fontId="21" fillId="0" borderId="0" xfId="1" applyFont="1" applyBorder="1"/>
    <xf numFmtId="44" fontId="21" fillId="0" borderId="0" xfId="1" applyFont="1" applyAlignment="1"/>
    <xf numFmtId="44" fontId="21" fillId="0" borderId="5" xfId="1" applyFont="1" applyBorder="1" applyAlignment="1"/>
    <xf numFmtId="44" fontId="21" fillId="0" borderId="0" xfId="1" applyFont="1"/>
    <xf numFmtId="0" fontId="20" fillId="0" borderId="0" xfId="0" applyFont="1"/>
    <xf numFmtId="44" fontId="21" fillId="0" borderId="3" xfId="1" applyFont="1" applyBorder="1" applyAlignment="1"/>
    <xf numFmtId="44" fontId="21" fillId="0" borderId="8" xfId="1" applyFont="1" applyBorder="1" applyAlignment="1"/>
    <xf numFmtId="44" fontId="21" fillId="0" borderId="3" xfId="1" applyFont="1" applyFill="1" applyBorder="1" applyAlignment="1"/>
    <xf numFmtId="44" fontId="21" fillId="0" borderId="0" xfId="1" applyFont="1" applyBorder="1" applyAlignment="1"/>
    <xf numFmtId="44" fontId="22" fillId="0" borderId="6" xfId="1" applyFont="1" applyBorder="1"/>
    <xf numFmtId="44" fontId="21" fillId="0" borderId="4" xfId="1" applyFont="1" applyBorder="1"/>
    <xf numFmtId="0" fontId="21" fillId="0" borderId="0" xfId="0" applyNumberFormat="1" applyFont="1"/>
    <xf numFmtId="0" fontId="22" fillId="0" borderId="0" xfId="0" applyFont="1"/>
    <xf numFmtId="44" fontId="21" fillId="0" borderId="6" xfId="1" applyFont="1" applyBorder="1" applyAlignment="1"/>
    <xf numFmtId="44" fontId="21" fillId="0" borderId="4" xfId="1" applyFont="1" applyBorder="1" applyAlignment="1"/>
    <xf numFmtId="0" fontId="23" fillId="0" borderId="0" xfId="0" applyNumberFormat="1" applyFont="1"/>
    <xf numFmtId="0" fontId="8" fillId="4" borderId="0" xfId="0" applyFont="1" applyFill="1" applyAlignment="1">
      <alignment horizontal="center"/>
    </xf>
    <xf numFmtId="14" fontId="8" fillId="4" borderId="7" xfId="1" applyNumberFormat="1" applyFont="1" applyFill="1" applyBorder="1" applyAlignment="1">
      <alignment horizontal="center"/>
    </xf>
    <xf numFmtId="44" fontId="9" fillId="4" borderId="0" xfId="1" applyFont="1" applyFill="1" applyAlignment="1">
      <alignment horizontal="left"/>
    </xf>
    <xf numFmtId="44" fontId="9" fillId="4" borderId="0" xfId="1" applyFont="1" applyFill="1" applyAlignment="1">
      <alignment wrapText="1"/>
    </xf>
    <xf numFmtId="44" fontId="9" fillId="4" borderId="6" xfId="1" applyFont="1" applyFill="1" applyBorder="1"/>
    <xf numFmtId="44" fontId="9" fillId="4" borderId="0" xfId="1" applyFont="1" applyFill="1" applyBorder="1"/>
    <xf numFmtId="44" fontId="8" fillId="4" borderId="0" xfId="1" applyFont="1" applyFill="1" applyBorder="1"/>
    <xf numFmtId="44" fontId="9" fillId="4" borderId="0" xfId="1" applyFont="1" applyFill="1" applyAlignment="1"/>
    <xf numFmtId="44" fontId="9" fillId="4" borderId="5" xfId="1" applyFont="1" applyFill="1" applyBorder="1" applyAlignment="1"/>
    <xf numFmtId="44" fontId="8" fillId="4" borderId="0" xfId="1" applyFont="1" applyFill="1"/>
    <xf numFmtId="44" fontId="8" fillId="4" borderId="0" xfId="1" applyFont="1" applyFill="1" applyAlignment="1"/>
    <xf numFmtId="0" fontId="0" fillId="4" borderId="0" xfId="0" applyFill="1"/>
    <xf numFmtId="44" fontId="8" fillId="4" borderId="3" xfId="1" applyFont="1" applyFill="1" applyBorder="1" applyAlignment="1"/>
    <xf numFmtId="44" fontId="9" fillId="4" borderId="8" xfId="1" applyFont="1" applyFill="1" applyBorder="1" applyAlignment="1"/>
    <xf numFmtId="44" fontId="8" fillId="4" borderId="0" xfId="1" applyFont="1" applyFill="1" applyBorder="1" applyAlignment="1"/>
    <xf numFmtId="44" fontId="9" fillId="4" borderId="5" xfId="1" applyFont="1" applyFill="1" applyBorder="1" applyAlignment="1">
      <alignment wrapText="1"/>
    </xf>
    <xf numFmtId="44" fontId="6" fillId="4" borderId="6" xfId="1" applyFont="1" applyFill="1" applyBorder="1"/>
    <xf numFmtId="44" fontId="9" fillId="4" borderId="0" xfId="1" applyFont="1" applyFill="1" applyBorder="1" applyAlignment="1"/>
    <xf numFmtId="44" fontId="8" fillId="4" borderId="4" xfId="1" applyFont="1" applyFill="1" applyBorder="1"/>
    <xf numFmtId="44" fontId="11" fillId="4" borderId="0" xfId="1" applyFont="1" applyFill="1" applyAlignment="1"/>
    <xf numFmtId="44" fontId="9" fillId="4" borderId="6" xfId="1" applyFont="1" applyFill="1" applyBorder="1" applyAlignment="1"/>
    <xf numFmtId="44" fontId="9" fillId="4" borderId="4" xfId="1" applyFont="1" applyFill="1" applyBorder="1" applyAlignment="1"/>
    <xf numFmtId="0" fontId="24" fillId="0" borderId="0" xfId="0" applyNumberFormat="1" applyFont="1"/>
    <xf numFmtId="39" fontId="24" fillId="0" borderId="0" xfId="0" applyNumberFormat="1" applyFont="1"/>
    <xf numFmtId="39" fontId="24" fillId="0" borderId="0" xfId="1" applyNumberFormat="1" applyFont="1"/>
    <xf numFmtId="39" fontId="24" fillId="0" borderId="0" xfId="1" applyNumberFormat="1" applyFont="1" applyAlignment="1"/>
    <xf numFmtId="44" fontId="24" fillId="0" borderId="0" xfId="1" applyFont="1" applyAlignment="1"/>
    <xf numFmtId="44" fontId="24" fillId="0" borderId="0" xfId="1" applyFont="1" applyBorder="1" applyAlignment="1"/>
    <xf numFmtId="44" fontId="24" fillId="4" borderId="0" xfId="1" applyFont="1" applyFill="1" applyAlignment="1"/>
    <xf numFmtId="0" fontId="26" fillId="0" borderId="0" xfId="83" applyFont="1"/>
    <xf numFmtId="164" fontId="0" fillId="0" borderId="0" xfId="84" applyNumberFormat="1" applyFont="1"/>
    <xf numFmtId="0" fontId="25" fillId="0" borderId="0" xfId="83"/>
    <xf numFmtId="164" fontId="27" fillId="2" borderId="0" xfId="84" applyNumberFormat="1" applyFont="1" applyFill="1"/>
    <xf numFmtId="14" fontId="27" fillId="2" borderId="0" xfId="84" applyNumberFormat="1" applyFont="1" applyFill="1"/>
    <xf numFmtId="164" fontId="28" fillId="0" borderId="0" xfId="84" applyNumberFormat="1" applyFont="1" applyAlignment="1">
      <alignment horizontal="center"/>
    </xf>
    <xf numFmtId="0" fontId="29" fillId="0" borderId="0" xfId="83" applyFont="1" applyAlignment="1">
      <alignment horizontal="center"/>
    </xf>
    <xf numFmtId="164" fontId="29" fillId="0" borderId="0" xfId="84" applyNumberFormat="1" applyFont="1" applyAlignment="1">
      <alignment horizontal="center"/>
    </xf>
    <xf numFmtId="0" fontId="26" fillId="0" borderId="0" xfId="83" applyFont="1" applyAlignment="1">
      <alignment horizontal="center"/>
    </xf>
    <xf numFmtId="0" fontId="25" fillId="0" borderId="0" xfId="83" applyBorder="1"/>
    <xf numFmtId="44" fontId="0" fillId="0" borderId="0" xfId="84" applyNumberFormat="1" applyFont="1"/>
    <xf numFmtId="0" fontId="25" fillId="0" borderId="0" xfId="83" applyFill="1" applyBorder="1"/>
    <xf numFmtId="44" fontId="0" fillId="0" borderId="4" xfId="84" applyNumberFormat="1" applyFont="1" applyFill="1" applyBorder="1"/>
    <xf numFmtId="44" fontId="0" fillId="0" borderId="4" xfId="84" applyNumberFormat="1" applyFont="1" applyBorder="1"/>
    <xf numFmtId="44" fontId="0" fillId="3" borderId="4" xfId="84" applyNumberFormat="1" applyFont="1" applyFill="1" applyBorder="1"/>
    <xf numFmtId="0" fontId="25" fillId="3" borderId="0" xfId="83" applyFill="1"/>
    <xf numFmtId="164" fontId="25" fillId="3" borderId="0" xfId="83" applyNumberFormat="1" applyFill="1"/>
    <xf numFmtId="0" fontId="21" fillId="0" borderId="0" xfId="0" applyFont="1"/>
    <xf numFmtId="0" fontId="21" fillId="0" borderId="0" xfId="0" applyNumberFormat="1" applyFont="1" applyBorder="1" applyAlignment="1">
      <alignment horizontal="left"/>
    </xf>
    <xf numFmtId="44" fontId="21" fillId="5" borderId="0" xfId="85" applyFont="1" applyFill="1"/>
    <xf numFmtId="0" fontId="30" fillId="0" borderId="0" xfId="0" applyNumberFormat="1" applyFont="1"/>
    <xf numFmtId="44" fontId="19" fillId="5" borderId="0" xfId="85" applyFont="1" applyFill="1" applyAlignment="1">
      <alignment horizontal="center"/>
    </xf>
    <xf numFmtId="0" fontId="31" fillId="0" borderId="0" xfId="0" applyNumberFormat="1" applyFont="1" applyAlignment="1">
      <alignment horizontal="center"/>
    </xf>
    <xf numFmtId="49" fontId="22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14" fontId="19" fillId="0" borderId="7" xfId="85" applyNumberFormat="1" applyFont="1" applyBorder="1" applyAlignment="1">
      <alignment horizontal="center"/>
    </xf>
    <xf numFmtId="14" fontId="19" fillId="0" borderId="0" xfId="85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49" fontId="32" fillId="0" borderId="0" xfId="0" applyNumberFormat="1" applyFont="1"/>
    <xf numFmtId="44" fontId="21" fillId="0" borderId="0" xfId="85" applyFont="1" applyAlignment="1">
      <alignment horizontal="left"/>
    </xf>
    <xf numFmtId="44" fontId="21" fillId="0" borderId="0" xfId="85" applyFont="1" applyBorder="1" applyAlignment="1">
      <alignment horizontal="left"/>
    </xf>
    <xf numFmtId="39" fontId="21" fillId="0" borderId="0" xfId="0" applyNumberFormat="1" applyFont="1"/>
    <xf numFmtId="39" fontId="21" fillId="0" borderId="0" xfId="85" applyNumberFormat="1" applyFont="1" applyAlignment="1">
      <alignment wrapText="1"/>
    </xf>
    <xf numFmtId="44" fontId="21" fillId="0" borderId="0" xfId="85" applyFont="1" applyAlignment="1">
      <alignment wrapText="1"/>
    </xf>
    <xf numFmtId="44" fontId="21" fillId="0" borderId="0" xfId="85" applyFont="1" applyBorder="1" applyAlignment="1">
      <alignment wrapText="1"/>
    </xf>
    <xf numFmtId="49" fontId="22" fillId="0" borderId="0" xfId="0" applyNumberFormat="1" applyFont="1" applyAlignment="1">
      <alignment horizontal="right"/>
    </xf>
    <xf numFmtId="39" fontId="21" fillId="0" borderId="6" xfId="85" applyNumberFormat="1" applyFont="1" applyBorder="1"/>
    <xf numFmtId="44" fontId="21" fillId="0" borderId="6" xfId="85" applyFont="1" applyBorder="1"/>
    <xf numFmtId="44" fontId="21" fillId="0" borderId="0" xfId="85" applyFont="1" applyBorder="1"/>
    <xf numFmtId="39" fontId="21" fillId="0" borderId="0" xfId="85" applyNumberFormat="1" applyFont="1" applyBorder="1"/>
    <xf numFmtId="49" fontId="33" fillId="0" borderId="0" xfId="0" applyNumberFormat="1" applyFont="1"/>
    <xf numFmtId="39" fontId="19" fillId="0" borderId="0" xfId="0" applyNumberFormat="1" applyFont="1"/>
    <xf numFmtId="39" fontId="19" fillId="0" borderId="0" xfId="85" applyNumberFormat="1" applyFont="1" applyBorder="1"/>
    <xf numFmtId="0" fontId="34" fillId="0" borderId="0" xfId="0" applyFont="1"/>
    <xf numFmtId="44" fontId="19" fillId="0" borderId="0" xfId="85" applyFont="1" applyBorder="1"/>
    <xf numFmtId="44" fontId="19" fillId="5" borderId="0" xfId="85" applyFont="1" applyFill="1"/>
    <xf numFmtId="39" fontId="21" fillId="0" borderId="0" xfId="85" applyNumberFormat="1" applyFont="1" applyAlignment="1"/>
    <xf numFmtId="44" fontId="21" fillId="0" borderId="0" xfId="85" applyFont="1" applyAlignment="1"/>
    <xf numFmtId="44" fontId="21" fillId="0" borderId="0" xfId="85" applyFont="1" applyBorder="1" applyAlignment="1"/>
    <xf numFmtId="39" fontId="21" fillId="0" borderId="5" xfId="85" applyNumberFormat="1" applyFont="1" applyBorder="1" applyAlignment="1"/>
    <xf numFmtId="44" fontId="21" fillId="0" borderId="5" xfId="85" applyFont="1" applyBorder="1" applyAlignment="1"/>
    <xf numFmtId="44" fontId="21" fillId="5" borderId="5" xfId="85" applyFont="1" applyFill="1" applyBorder="1"/>
    <xf numFmtId="39" fontId="19" fillId="0" borderId="0" xfId="85" applyNumberFormat="1" applyFont="1"/>
    <xf numFmtId="44" fontId="19" fillId="0" borderId="0" xfId="85" applyFont="1"/>
    <xf numFmtId="0" fontId="30" fillId="0" borderId="0" xfId="0" applyNumberFormat="1" applyFont="1" applyAlignment="1">
      <alignment wrapText="1"/>
    </xf>
    <xf numFmtId="39" fontId="19" fillId="0" borderId="0" xfId="85" applyNumberFormat="1" applyFont="1" applyAlignment="1"/>
    <xf numFmtId="44" fontId="19" fillId="0" borderId="0" xfId="85" applyFont="1" applyAlignment="1"/>
    <xf numFmtId="44" fontId="19" fillId="0" borderId="0" xfId="85" applyFont="1" applyBorder="1" applyAlignment="1"/>
    <xf numFmtId="44" fontId="21" fillId="5" borderId="3" xfId="85" applyFont="1" applyFill="1" applyBorder="1"/>
    <xf numFmtId="39" fontId="19" fillId="0" borderId="3" xfId="85" applyNumberFormat="1" applyFont="1" applyBorder="1" applyAlignment="1"/>
    <xf numFmtId="44" fontId="19" fillId="0" borderId="3" xfId="85" applyFont="1" applyBorder="1" applyAlignment="1"/>
    <xf numFmtId="49" fontId="35" fillId="0" borderId="0" xfId="0" applyNumberFormat="1" applyFont="1"/>
    <xf numFmtId="49" fontId="36" fillId="0" borderId="0" xfId="0" applyNumberFormat="1" applyFont="1"/>
    <xf numFmtId="39" fontId="19" fillId="0" borderId="3" xfId="85" applyNumberFormat="1" applyFont="1" applyFill="1" applyBorder="1" applyAlignment="1"/>
    <xf numFmtId="39" fontId="19" fillId="0" borderId="0" xfId="85" applyNumberFormat="1" applyFont="1" applyFill="1" applyAlignment="1"/>
    <xf numFmtId="39" fontId="21" fillId="0" borderId="8" xfId="85" applyNumberFormat="1" applyFont="1" applyBorder="1" applyAlignment="1"/>
    <xf numFmtId="0" fontId="21" fillId="0" borderId="8" xfId="0" applyNumberFormat="1" applyFont="1" applyBorder="1"/>
    <xf numFmtId="44" fontId="21" fillId="0" borderId="8" xfId="85" applyFont="1" applyBorder="1" applyAlignment="1"/>
    <xf numFmtId="44" fontId="21" fillId="5" borderId="8" xfId="85" applyFont="1" applyFill="1" applyBorder="1"/>
    <xf numFmtId="44" fontId="19" fillId="0" borderId="3" xfId="85" applyFont="1" applyFill="1" applyBorder="1" applyAlignment="1"/>
    <xf numFmtId="44" fontId="19" fillId="0" borderId="0" xfId="85" applyFont="1" applyFill="1" applyBorder="1" applyAlignment="1"/>
    <xf numFmtId="44" fontId="19" fillId="5" borderId="0" xfId="85" applyNumberFormat="1" applyFont="1" applyFill="1"/>
    <xf numFmtId="39" fontId="19" fillId="0" borderId="0" xfId="85" applyNumberFormat="1" applyFont="1" applyBorder="1" applyAlignment="1"/>
    <xf numFmtId="39" fontId="21" fillId="0" borderId="5" xfId="85" applyNumberFormat="1" applyFont="1" applyBorder="1" applyAlignment="1">
      <alignment wrapText="1"/>
    </xf>
    <xf numFmtId="44" fontId="21" fillId="0" borderId="5" xfId="85" applyFont="1" applyBorder="1" applyAlignment="1">
      <alignment wrapText="1"/>
    </xf>
    <xf numFmtId="39" fontId="19" fillId="0" borderId="8" xfId="85" applyNumberFormat="1" applyFont="1" applyFill="1" applyBorder="1" applyAlignment="1"/>
    <xf numFmtId="39" fontId="19" fillId="0" borderId="8" xfId="85" applyNumberFormat="1" applyFont="1" applyBorder="1" applyAlignment="1"/>
    <xf numFmtId="44" fontId="19" fillId="0" borderId="8" xfId="85" applyFont="1" applyBorder="1" applyAlignment="1"/>
    <xf numFmtId="44" fontId="19" fillId="5" borderId="3" xfId="85" applyFont="1" applyFill="1" applyBorder="1"/>
    <xf numFmtId="39" fontId="33" fillId="0" borderId="6" xfId="0" applyNumberFormat="1" applyFont="1" applyBorder="1"/>
    <xf numFmtId="44" fontId="33" fillId="0" borderId="6" xfId="85" applyFont="1" applyBorder="1"/>
    <xf numFmtId="44" fontId="33" fillId="0" borderId="0" xfId="85" applyFont="1" applyBorder="1"/>
    <xf numFmtId="44" fontId="19" fillId="5" borderId="4" xfId="85" applyFont="1" applyFill="1" applyBorder="1"/>
    <xf numFmtId="49" fontId="37" fillId="0" borderId="0" xfId="0" applyNumberFormat="1" applyFont="1"/>
    <xf numFmtId="39" fontId="21" fillId="0" borderId="0" xfId="85" applyNumberFormat="1" applyFont="1" applyBorder="1" applyAlignment="1"/>
    <xf numFmtId="8" fontId="21" fillId="5" borderId="0" xfId="85" applyNumberFormat="1" applyFont="1" applyFill="1"/>
    <xf numFmtId="39" fontId="19" fillId="0" borderId="4" xfId="85" applyNumberFormat="1" applyFont="1" applyBorder="1"/>
    <xf numFmtId="44" fontId="19" fillId="0" borderId="4" xfId="85" applyFont="1" applyBorder="1"/>
    <xf numFmtId="0" fontId="38" fillId="0" borderId="0" xfId="0" applyNumberFormat="1" applyFont="1"/>
    <xf numFmtId="39" fontId="22" fillId="0" borderId="0" xfId="85" applyNumberFormat="1" applyFont="1" applyAlignment="1"/>
    <xf numFmtId="0" fontId="33" fillId="0" borderId="0" xfId="0" applyFont="1"/>
    <xf numFmtId="44" fontId="22" fillId="0" borderId="0" xfId="85" applyFont="1" applyAlignment="1"/>
    <xf numFmtId="44" fontId="22" fillId="0" borderId="0" xfId="85" applyFont="1" applyBorder="1" applyAlignment="1"/>
    <xf numFmtId="44" fontId="33" fillId="5" borderId="0" xfId="85" applyFont="1" applyFill="1"/>
    <xf numFmtId="0" fontId="37" fillId="0" borderId="0" xfId="0" applyFont="1"/>
    <xf numFmtId="0" fontId="39" fillId="0" borderId="0" xfId="0" applyNumberFormat="1" applyFont="1"/>
    <xf numFmtId="39" fontId="21" fillId="0" borderId="6" xfId="85" applyNumberFormat="1" applyFont="1" applyBorder="1" applyAlignment="1"/>
    <xf numFmtId="44" fontId="21" fillId="0" borderId="6" xfId="85" applyFont="1" applyBorder="1" applyAlignment="1"/>
    <xf numFmtId="39" fontId="21" fillId="5" borderId="6" xfId="85" applyNumberFormat="1" applyFont="1" applyFill="1" applyBorder="1" applyAlignment="1"/>
    <xf numFmtId="39" fontId="21" fillId="0" borderId="4" xfId="85" applyNumberFormat="1" applyFont="1" applyBorder="1" applyAlignment="1"/>
    <xf numFmtId="44" fontId="21" fillId="0" borderId="4" xfId="85" applyFont="1" applyBorder="1" applyAlignment="1"/>
    <xf numFmtId="44" fontId="21" fillId="5" borderId="4" xfId="85" applyFont="1" applyFill="1" applyBorder="1"/>
  </cellXfs>
  <cellStyles count="86">
    <cellStyle name="Comma" xfId="2" builtinId="3"/>
    <cellStyle name="Currency" xfId="1" builtinId="4"/>
    <cellStyle name="Currency 2" xfId="84"/>
    <cellStyle name="Currency 3" xfId="85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2" xfId="8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ward/AppData/Local/Temp/Restricted%20Cash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G Cash 17-18"/>
      <sheetName val="Restricted Cash 16-17"/>
    </sheetNames>
    <sheetDataSet>
      <sheetData sheetId="0"/>
      <sheetData sheetId="1">
        <row r="16">
          <cell r="F16">
            <v>62.919999999999959</v>
          </cell>
        </row>
        <row r="17">
          <cell r="F17">
            <v>251.44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zoomScaleNormal="100" workbookViewId="0">
      <pane xSplit="2" ySplit="4" topLeftCell="D90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625" defaultRowHeight="18" x14ac:dyDescent="0.25"/>
  <cols>
    <col min="1" max="1" width="34.75" style="136" bestFit="1" customWidth="1"/>
    <col min="2" max="2" width="0.875" style="187" customWidth="1"/>
    <col min="3" max="3" width="13.625" style="119" bestFit="1" customWidth="1"/>
    <col min="4" max="4" width="1" style="136" customWidth="1"/>
    <col min="5" max="5" width="12.75" style="119" bestFit="1" customWidth="1"/>
    <col min="6" max="6" width="0.75" style="136" customWidth="1"/>
    <col min="7" max="7" width="15.75" style="119" bestFit="1" customWidth="1"/>
    <col min="8" max="8" width="0.375" style="188" customWidth="1"/>
    <col min="9" max="9" width="15" style="119" bestFit="1" customWidth="1"/>
    <col min="10" max="10" width="0.75" style="188" customWidth="1"/>
    <col min="11" max="11" width="15" style="119" hidden="1" customWidth="1"/>
    <col min="12" max="12" width="15" style="119" bestFit="1" customWidth="1"/>
    <col min="13" max="13" width="14.375" style="136" hidden="1" customWidth="1"/>
    <col min="14" max="14" width="0.875" style="136" customWidth="1"/>
    <col min="15" max="15" width="15" style="189" bestFit="1" customWidth="1"/>
    <col min="16" max="16" width="44.25" style="190" bestFit="1" customWidth="1"/>
    <col min="17" max="16384" width="7.625" style="136"/>
  </cols>
  <sheetData>
    <row r="1" spans="1:16" x14ac:dyDescent="0.25">
      <c r="A1" s="110" t="s">
        <v>52</v>
      </c>
      <c r="M1" s="119"/>
    </row>
    <row r="2" spans="1:16" x14ac:dyDescent="0.25">
      <c r="A2" s="110" t="s">
        <v>158</v>
      </c>
      <c r="M2" s="119"/>
      <c r="O2" s="191" t="s">
        <v>106</v>
      </c>
      <c r="P2" s="192"/>
    </row>
    <row r="3" spans="1:16" ht="18.75" thickBot="1" x14ac:dyDescent="0.3">
      <c r="A3" s="193"/>
      <c r="B3" s="194"/>
      <c r="C3" s="195" t="s">
        <v>10</v>
      </c>
      <c r="E3" s="195" t="s">
        <v>10</v>
      </c>
      <c r="G3" s="195" t="s">
        <v>159</v>
      </c>
      <c r="H3" s="196"/>
      <c r="I3" s="195" t="s">
        <v>159</v>
      </c>
      <c r="J3" s="196"/>
      <c r="K3" s="195" t="s">
        <v>61</v>
      </c>
      <c r="L3" s="195" t="s">
        <v>159</v>
      </c>
      <c r="M3" s="195" t="s">
        <v>65</v>
      </c>
      <c r="O3" s="191" t="s">
        <v>61</v>
      </c>
      <c r="P3" s="192"/>
    </row>
    <row r="4" spans="1:16" s="120" customFormat="1" ht="18.75" thickBot="1" x14ac:dyDescent="0.3">
      <c r="A4" s="197"/>
      <c r="B4" s="194"/>
      <c r="C4" s="198">
        <v>39993</v>
      </c>
      <c r="D4"/>
      <c r="E4" s="198">
        <v>40358</v>
      </c>
      <c r="G4" s="198">
        <v>40723</v>
      </c>
      <c r="H4" s="199"/>
      <c r="I4" s="198">
        <v>41089</v>
      </c>
      <c r="J4" s="199"/>
      <c r="K4" s="198" t="s">
        <v>160</v>
      </c>
      <c r="L4" s="198">
        <v>41454</v>
      </c>
      <c r="M4" s="198"/>
      <c r="O4" s="191" t="s">
        <v>101</v>
      </c>
      <c r="P4" s="200" t="s">
        <v>161</v>
      </c>
    </row>
    <row r="5" spans="1:16" x14ac:dyDescent="0.25">
      <c r="A5" s="201" t="s">
        <v>162</v>
      </c>
      <c r="C5" s="202"/>
      <c r="D5"/>
      <c r="E5" s="202"/>
      <c r="G5" s="202"/>
      <c r="H5" s="203"/>
      <c r="I5" s="202"/>
      <c r="J5" s="203"/>
      <c r="K5" s="202"/>
      <c r="L5" s="202"/>
      <c r="M5" s="202"/>
    </row>
    <row r="6" spans="1:16" x14ac:dyDescent="0.25">
      <c r="A6" s="193" t="s">
        <v>49</v>
      </c>
      <c r="B6" s="204"/>
      <c r="C6" s="205"/>
      <c r="D6"/>
      <c r="E6" s="205"/>
      <c r="G6" s="206"/>
      <c r="H6" s="207"/>
      <c r="I6" s="206"/>
      <c r="J6" s="207"/>
      <c r="K6" s="206"/>
      <c r="L6" s="206"/>
      <c r="M6" s="206">
        <f>L6-K6</f>
        <v>0</v>
      </c>
    </row>
    <row r="7" spans="1:16" x14ac:dyDescent="0.25">
      <c r="A7" s="193" t="s">
        <v>48</v>
      </c>
      <c r="B7" s="204"/>
      <c r="C7" s="205">
        <v>8426.35</v>
      </c>
      <c r="D7"/>
      <c r="E7" s="205">
        <v>11803</v>
      </c>
      <c r="G7" s="206">
        <v>14226</v>
      </c>
      <c r="H7" s="207"/>
      <c r="I7" s="206">
        <v>18620</v>
      </c>
      <c r="J7" s="207"/>
      <c r="K7" s="206">
        <v>10000</v>
      </c>
      <c r="L7" s="206">
        <v>8795</v>
      </c>
      <c r="M7" s="206">
        <f t="shared" ref="M7:M15" si="0">L7-K7</f>
        <v>-1205</v>
      </c>
      <c r="O7" s="189">
        <v>8500</v>
      </c>
      <c r="P7" s="190" t="s">
        <v>163</v>
      </c>
    </row>
    <row r="8" spans="1:16" x14ac:dyDescent="0.25">
      <c r="A8" s="193" t="s">
        <v>85</v>
      </c>
      <c r="B8" s="204"/>
      <c r="C8" s="205"/>
      <c r="D8"/>
      <c r="E8" s="205"/>
      <c r="G8" s="206"/>
      <c r="H8" s="207"/>
      <c r="I8" s="206">
        <v>1140</v>
      </c>
      <c r="J8" s="207"/>
      <c r="K8" s="206">
        <v>100</v>
      </c>
      <c r="L8" s="206">
        <v>841</v>
      </c>
      <c r="M8" s="206">
        <f t="shared" si="0"/>
        <v>741</v>
      </c>
      <c r="O8" s="189">
        <v>900</v>
      </c>
      <c r="P8" s="190" t="s">
        <v>164</v>
      </c>
    </row>
    <row r="9" spans="1:16" x14ac:dyDescent="0.25">
      <c r="A9" s="193" t="s">
        <v>86</v>
      </c>
      <c r="B9" s="204"/>
      <c r="C9" s="205">
        <f>5243.93-147.02</f>
        <v>5096.91</v>
      </c>
      <c r="D9"/>
      <c r="E9" s="205">
        <f>7335-203.97</f>
        <v>7131.03</v>
      </c>
      <c r="G9" s="206">
        <f>4710-130.89</f>
        <v>4579.1099999999997</v>
      </c>
      <c r="H9" s="207"/>
      <c r="I9" s="206"/>
      <c r="J9" s="207"/>
      <c r="K9" s="206">
        <v>5000</v>
      </c>
      <c r="L9" s="206">
        <v>6370</v>
      </c>
      <c r="M9" s="206">
        <f t="shared" si="0"/>
        <v>1370</v>
      </c>
      <c r="O9" s="189">
        <v>6500</v>
      </c>
      <c r="P9" s="190" t="s">
        <v>165</v>
      </c>
    </row>
    <row r="10" spans="1:16" x14ac:dyDescent="0.25">
      <c r="A10" s="193" t="s">
        <v>87</v>
      </c>
      <c r="B10" s="204"/>
      <c r="C10" s="205"/>
      <c r="D10"/>
      <c r="E10" s="205"/>
      <c r="G10" s="206"/>
      <c r="H10" s="207"/>
      <c r="I10" s="206"/>
      <c r="J10" s="207"/>
      <c r="K10" s="206">
        <v>-3</v>
      </c>
      <c r="L10" s="206">
        <f>-25.23+-173.24</f>
        <v>-198.47</v>
      </c>
      <c r="M10" s="206">
        <f t="shared" si="0"/>
        <v>-195.47</v>
      </c>
      <c r="O10" s="189">
        <f>-O8*0.03</f>
        <v>-27</v>
      </c>
      <c r="P10" s="190" t="s">
        <v>166</v>
      </c>
    </row>
    <row r="11" spans="1:16" ht="6.95" customHeight="1" x14ac:dyDescent="0.25">
      <c r="A11" s="193"/>
      <c r="B11" s="204"/>
      <c r="C11" s="205"/>
      <c r="D11"/>
      <c r="E11" s="205"/>
      <c r="G11" s="206"/>
      <c r="H11" s="207"/>
      <c r="I11" s="206"/>
      <c r="J11" s="207"/>
      <c r="K11" s="206"/>
      <c r="L11" s="206"/>
      <c r="M11" s="206"/>
    </row>
    <row r="12" spans="1:16" x14ac:dyDescent="0.25">
      <c r="A12" s="193" t="s">
        <v>91</v>
      </c>
      <c r="B12" s="204"/>
      <c r="C12" s="205"/>
      <c r="D12"/>
      <c r="E12" s="205"/>
      <c r="G12" s="206"/>
      <c r="H12" s="207"/>
      <c r="I12" s="206"/>
      <c r="J12" s="207"/>
      <c r="K12" s="206"/>
      <c r="L12" s="206">
        <v>100</v>
      </c>
      <c r="M12" s="206">
        <f t="shared" si="0"/>
        <v>100</v>
      </c>
      <c r="P12" s="190" t="s">
        <v>167</v>
      </c>
    </row>
    <row r="13" spans="1:16" ht="6" customHeight="1" x14ac:dyDescent="0.25">
      <c r="A13" s="193"/>
      <c r="B13" s="204"/>
      <c r="C13" s="205"/>
      <c r="D13"/>
      <c r="E13" s="205"/>
      <c r="G13" s="206"/>
      <c r="H13" s="207"/>
      <c r="I13" s="206"/>
      <c r="J13" s="207"/>
      <c r="K13" s="206"/>
      <c r="L13" s="206"/>
      <c r="M13" s="206"/>
    </row>
    <row r="14" spans="1:16" x14ac:dyDescent="0.25">
      <c r="A14" s="193" t="s">
        <v>89</v>
      </c>
      <c r="B14" s="204"/>
      <c r="C14" s="205">
        <v>38083.5</v>
      </c>
      <c r="D14"/>
      <c r="E14" s="205">
        <v>64.8</v>
      </c>
      <c r="G14" s="206">
        <v>16552.25</v>
      </c>
      <c r="H14" s="207"/>
      <c r="I14" s="206"/>
      <c r="J14" s="207"/>
      <c r="K14" s="206"/>
      <c r="L14" s="206">
        <f>887.6+250.03</f>
        <v>1137.6300000000001</v>
      </c>
      <c r="M14" s="206">
        <f t="shared" si="0"/>
        <v>1137.6300000000001</v>
      </c>
    </row>
    <row r="15" spans="1:16" x14ac:dyDescent="0.25">
      <c r="A15" s="193" t="s">
        <v>90</v>
      </c>
      <c r="B15" s="204"/>
      <c r="C15" s="205">
        <v>-18467.919999999998</v>
      </c>
      <c r="D15"/>
      <c r="E15" s="205"/>
      <c r="G15" s="206">
        <v>-7472.45</v>
      </c>
      <c r="H15" s="207"/>
      <c r="I15" s="206"/>
      <c r="J15" s="207"/>
      <c r="K15" s="206"/>
      <c r="L15" s="206"/>
      <c r="M15" s="206">
        <f t="shared" si="0"/>
        <v>0</v>
      </c>
    </row>
    <row r="16" spans="1:16" ht="18.75" thickBot="1" x14ac:dyDescent="0.3">
      <c r="A16" s="208" t="s">
        <v>92</v>
      </c>
      <c r="B16" s="204"/>
      <c r="C16" s="209">
        <f>SUM(C14:C15)</f>
        <v>19615.580000000002</v>
      </c>
      <c r="D16"/>
      <c r="E16" s="209">
        <f>SUM(E14:E15)</f>
        <v>64.8</v>
      </c>
      <c r="G16" s="210">
        <f t="shared" ref="G16:L16" si="1">SUM(G14:G15)</f>
        <v>9079.7999999999993</v>
      </c>
      <c r="H16" s="211"/>
      <c r="I16" s="210">
        <f t="shared" si="1"/>
        <v>0</v>
      </c>
      <c r="J16" s="211"/>
      <c r="K16" s="210">
        <f t="shared" si="1"/>
        <v>0</v>
      </c>
      <c r="L16" s="210">
        <f t="shared" si="1"/>
        <v>1137.6300000000001</v>
      </c>
      <c r="M16" s="210">
        <f>L16-K16</f>
        <v>1137.6300000000001</v>
      </c>
    </row>
    <row r="17" spans="1:16" x14ac:dyDescent="0.25">
      <c r="A17" s="193"/>
      <c r="B17" s="204"/>
      <c r="C17" s="212"/>
      <c r="D17"/>
      <c r="E17" s="212"/>
      <c r="G17" s="211"/>
      <c r="H17" s="211"/>
      <c r="I17" s="211"/>
      <c r="J17" s="211"/>
      <c r="K17" s="211"/>
      <c r="L17" s="211"/>
      <c r="M17" s="211"/>
    </row>
    <row r="18" spans="1:16" x14ac:dyDescent="0.25">
      <c r="A18" s="213" t="s">
        <v>93</v>
      </c>
      <c r="B18" s="214"/>
      <c r="C18" s="215">
        <f>SUM(C7:C9,C16)</f>
        <v>33138.840000000004</v>
      </c>
      <c r="D18" s="216"/>
      <c r="E18" s="215">
        <f>SUM(E7:E9,E16)</f>
        <v>18998.829999999998</v>
      </c>
      <c r="F18" s="110"/>
      <c r="G18" s="217">
        <f t="shared" ref="G18" si="2">SUM(G7:G9,G16)</f>
        <v>27884.91</v>
      </c>
      <c r="H18" s="217"/>
      <c r="I18" s="217">
        <f>SUM(I7:I10,I16)</f>
        <v>19760</v>
      </c>
      <c r="J18" s="217"/>
      <c r="K18" s="217">
        <f>SUM(K7:K10,K16)</f>
        <v>15097</v>
      </c>
      <c r="L18" s="217">
        <f>SUM(L7:L10,L16,L12)</f>
        <v>17045.16</v>
      </c>
      <c r="M18" s="217">
        <f>L18-K18</f>
        <v>1948.1599999999999</v>
      </c>
      <c r="O18" s="218">
        <f>SUM(O7:O17)</f>
        <v>15873</v>
      </c>
    </row>
    <row r="19" spans="1:16" ht="9.9499999999999993" customHeight="1" x14ac:dyDescent="0.25">
      <c r="A19" s="193"/>
      <c r="B19" s="204"/>
      <c r="C19" s="205"/>
      <c r="D19"/>
      <c r="E19" s="205"/>
      <c r="G19" s="206"/>
      <c r="H19" s="207"/>
      <c r="I19" s="206"/>
      <c r="J19" s="207"/>
      <c r="K19" s="206"/>
      <c r="L19" s="206"/>
      <c r="M19" s="206"/>
    </row>
    <row r="20" spans="1:16" x14ac:dyDescent="0.25">
      <c r="A20" s="193" t="s">
        <v>13</v>
      </c>
      <c r="B20" s="204"/>
      <c r="C20" s="219">
        <v>-1439.61</v>
      </c>
      <c r="D20"/>
      <c r="E20" s="219">
        <v>-406.83</v>
      </c>
      <c r="G20" s="220">
        <f>-416.45+-209.91</f>
        <v>-626.36</v>
      </c>
      <c r="H20" s="221"/>
      <c r="I20" s="220">
        <v>-855.24</v>
      </c>
      <c r="J20" s="221"/>
      <c r="K20" s="220">
        <v>-1000</v>
      </c>
      <c r="L20" s="220">
        <v>-804.55</v>
      </c>
      <c r="M20" s="220">
        <f>L20-K20</f>
        <v>195.45000000000005</v>
      </c>
      <c r="O20" s="189">
        <v>-900</v>
      </c>
      <c r="P20" s="190" t="s">
        <v>168</v>
      </c>
    </row>
    <row r="21" spans="1:16" x14ac:dyDescent="0.25">
      <c r="A21" s="193" t="s">
        <v>169</v>
      </c>
      <c r="B21" s="204"/>
      <c r="C21" s="222"/>
      <c r="D21"/>
      <c r="E21" s="222">
        <v>45.2</v>
      </c>
      <c r="G21" s="223"/>
      <c r="H21" s="221"/>
      <c r="I21" s="223"/>
      <c r="J21" s="221"/>
      <c r="K21" s="223"/>
      <c r="L21" s="223"/>
      <c r="M21" s="223"/>
      <c r="O21" s="224"/>
    </row>
    <row r="22" spans="1:16" x14ac:dyDescent="0.25">
      <c r="A22" s="213" t="s">
        <v>25</v>
      </c>
      <c r="B22" s="214"/>
      <c r="C22" s="225">
        <f>SUM(C18:C21)</f>
        <v>31699.230000000003</v>
      </c>
      <c r="D22"/>
      <c r="E22" s="225">
        <f>SUM(E18:E21)</f>
        <v>18637.199999999997</v>
      </c>
      <c r="G22" s="226">
        <f t="shared" ref="G22:L22" si="3">SUM(G18:G21)</f>
        <v>27258.55</v>
      </c>
      <c r="H22" s="217"/>
      <c r="I22" s="226">
        <f t="shared" si="3"/>
        <v>18904.759999999998</v>
      </c>
      <c r="J22" s="217"/>
      <c r="K22" s="226">
        <f t="shared" si="3"/>
        <v>14097</v>
      </c>
      <c r="L22" s="226">
        <f t="shared" si="3"/>
        <v>16240.61</v>
      </c>
      <c r="M22" s="226">
        <f>L22-K22</f>
        <v>2143.6100000000006</v>
      </c>
      <c r="O22" s="218">
        <f>SUM(O18:O20)</f>
        <v>14973</v>
      </c>
    </row>
    <row r="23" spans="1:16" ht="14.1" customHeight="1" x14ac:dyDescent="0.25">
      <c r="A23" s="193"/>
      <c r="B23" s="204"/>
      <c r="C23" s="219"/>
      <c r="D23"/>
      <c r="E23" s="219"/>
      <c r="G23" s="220"/>
      <c r="H23" s="221"/>
      <c r="I23" s="220"/>
      <c r="J23" s="221"/>
      <c r="K23" s="220"/>
      <c r="L23" s="220"/>
      <c r="M23" s="220"/>
    </row>
    <row r="24" spans="1:16" ht="30.75" x14ac:dyDescent="0.25">
      <c r="A24" s="193" t="s">
        <v>77</v>
      </c>
      <c r="B24" s="204"/>
      <c r="C24" s="219">
        <v>5920</v>
      </c>
      <c r="E24" s="219">
        <v>5930</v>
      </c>
      <c r="G24" s="220">
        <v>4930</v>
      </c>
      <c r="H24" s="221"/>
      <c r="I24" s="220">
        <v>4400</v>
      </c>
      <c r="J24" s="221"/>
      <c r="K24" s="220">
        <v>9200</v>
      </c>
      <c r="L24" s="220">
        <v>7265</v>
      </c>
      <c r="M24" s="220">
        <f>L24-K24</f>
        <v>-1935</v>
      </c>
      <c r="O24" s="189">
        <v>7500</v>
      </c>
      <c r="P24" s="227" t="s">
        <v>170</v>
      </c>
    </row>
    <row r="25" spans="1:16" x14ac:dyDescent="0.25">
      <c r="A25" s="193" t="s">
        <v>39</v>
      </c>
      <c r="B25" s="204"/>
      <c r="C25" s="205">
        <v>4020</v>
      </c>
      <c r="D25"/>
      <c r="E25" s="205">
        <v>3600</v>
      </c>
      <c r="G25" s="206">
        <v>3191</v>
      </c>
      <c r="H25" s="207"/>
      <c r="I25" s="206">
        <v>2710</v>
      </c>
      <c r="J25" s="207"/>
      <c r="K25" s="206"/>
      <c r="L25" s="206"/>
      <c r="M25" s="220">
        <f t="shared" ref="M25:M29" si="4">L25-K25</f>
        <v>0</v>
      </c>
    </row>
    <row r="26" spans="1:16" x14ac:dyDescent="0.25">
      <c r="A26" s="193" t="s">
        <v>40</v>
      </c>
      <c r="B26" s="204"/>
      <c r="C26" s="219">
        <v>-2300</v>
      </c>
      <c r="D26"/>
      <c r="E26" s="219">
        <v>-2150</v>
      </c>
      <c r="G26" s="220">
        <v>-2095</v>
      </c>
      <c r="H26" s="221"/>
      <c r="I26" s="220">
        <v>-2010</v>
      </c>
      <c r="J26" s="221"/>
      <c r="K26" s="220"/>
      <c r="L26" s="220"/>
      <c r="M26" s="220">
        <f t="shared" si="4"/>
        <v>0</v>
      </c>
    </row>
    <row r="27" spans="1:16" x14ac:dyDescent="0.25">
      <c r="A27" s="193" t="s">
        <v>78</v>
      </c>
      <c r="B27" s="204"/>
      <c r="C27" s="219"/>
      <c r="D27"/>
      <c r="E27" s="219"/>
      <c r="G27" s="220"/>
      <c r="H27" s="221"/>
      <c r="I27" s="220"/>
      <c r="J27" s="221"/>
      <c r="K27" s="220">
        <v>-1200</v>
      </c>
      <c r="L27" s="220">
        <v>-1200</v>
      </c>
      <c r="M27" s="220">
        <f t="shared" si="4"/>
        <v>0</v>
      </c>
      <c r="O27" s="189">
        <v>-1200</v>
      </c>
      <c r="P27" s="190" t="s">
        <v>171</v>
      </c>
    </row>
    <row r="28" spans="1:16" x14ac:dyDescent="0.25">
      <c r="A28" s="193" t="s">
        <v>82</v>
      </c>
      <c r="B28" s="204"/>
      <c r="C28" s="219"/>
      <c r="D28"/>
      <c r="E28" s="219"/>
      <c r="G28" s="220"/>
      <c r="H28" s="221"/>
      <c r="I28" s="220"/>
      <c r="J28" s="221"/>
      <c r="K28" s="220">
        <f>-K24*0.03</f>
        <v>-276</v>
      </c>
      <c r="L28" s="220">
        <v>-210.6</v>
      </c>
      <c r="M28" s="220">
        <f t="shared" si="4"/>
        <v>65.400000000000006</v>
      </c>
      <c r="O28" s="189">
        <f>-O24*0.03</f>
        <v>-225</v>
      </c>
      <c r="P28" s="190" t="s">
        <v>172</v>
      </c>
    </row>
    <row r="29" spans="1:16" x14ac:dyDescent="0.25">
      <c r="A29" s="193" t="s">
        <v>81</v>
      </c>
      <c r="B29" s="204"/>
      <c r="C29" s="222">
        <v>-3256</v>
      </c>
      <c r="E29" s="222">
        <v>-3261.5</v>
      </c>
      <c r="G29" s="223">
        <v>-2711.5</v>
      </c>
      <c r="H29" s="221"/>
      <c r="I29" s="223">
        <v>-2420</v>
      </c>
      <c r="J29" s="221"/>
      <c r="K29" s="223">
        <v>-2530</v>
      </c>
      <c r="L29" s="223">
        <v>-2062.5</v>
      </c>
      <c r="M29" s="223">
        <f t="shared" si="4"/>
        <v>467.5</v>
      </c>
      <c r="O29" s="189">
        <f>-375*5.5</f>
        <v>-2062.5</v>
      </c>
      <c r="P29" s="190" t="s">
        <v>173</v>
      </c>
    </row>
    <row r="30" spans="1:16" x14ac:dyDescent="0.25">
      <c r="A30" s="213" t="s">
        <v>79</v>
      </c>
      <c r="B30" s="214"/>
      <c r="C30" s="228">
        <f>SUM(C24:C29)</f>
        <v>4384</v>
      </c>
      <c r="E30" s="228">
        <f>SUM(E24:E29)</f>
        <v>4118.5</v>
      </c>
      <c r="G30" s="229">
        <f>SUM(G24:G29)</f>
        <v>3314.5</v>
      </c>
      <c r="H30" s="230"/>
      <c r="I30" s="229">
        <f>SUM(I24:I29)</f>
        <v>2680</v>
      </c>
      <c r="J30" s="230"/>
      <c r="K30" s="229">
        <f>SUM(K24:K29)</f>
        <v>5194</v>
      </c>
      <c r="L30" s="229">
        <f>SUM(L24:L29)</f>
        <v>3791.8999999999996</v>
      </c>
      <c r="M30" s="229">
        <f>L30-K30</f>
        <v>-1402.1000000000004</v>
      </c>
      <c r="O30" s="231">
        <f>SUM(O24:O29)</f>
        <v>4012.5</v>
      </c>
    </row>
    <row r="31" spans="1:16" ht="12" customHeight="1" x14ac:dyDescent="0.25">
      <c r="A31" s="193"/>
      <c r="B31" s="204"/>
      <c r="C31" s="219"/>
      <c r="E31" s="219"/>
      <c r="G31" s="220"/>
      <c r="H31" s="221"/>
      <c r="I31" s="220"/>
      <c r="J31" s="221"/>
      <c r="K31" s="220"/>
      <c r="L31" s="220"/>
      <c r="M31" s="220"/>
    </row>
    <row r="32" spans="1:16" x14ac:dyDescent="0.25">
      <c r="A32" s="193" t="s">
        <v>83</v>
      </c>
      <c r="B32" s="204"/>
      <c r="C32" s="219"/>
      <c r="E32" s="219"/>
      <c r="G32" s="220"/>
      <c r="H32" s="221"/>
      <c r="I32"/>
      <c r="J32"/>
      <c r="K32"/>
      <c r="L32"/>
      <c r="M32"/>
    </row>
    <row r="33" spans="1:16" x14ac:dyDescent="0.25">
      <c r="A33" s="193" t="s">
        <v>84</v>
      </c>
      <c r="B33" s="204"/>
      <c r="C33" s="219"/>
      <c r="E33" s="219"/>
      <c r="G33" s="220"/>
      <c r="H33" s="221"/>
      <c r="I33"/>
      <c r="J33"/>
      <c r="K33"/>
      <c r="L33"/>
      <c r="M33"/>
    </row>
    <row r="34" spans="1:16" x14ac:dyDescent="0.25">
      <c r="A34" s="213" t="s">
        <v>60</v>
      </c>
      <c r="B34" s="214"/>
      <c r="C34" s="228">
        <v>463</v>
      </c>
      <c r="E34" s="228">
        <v>590.97</v>
      </c>
      <c r="G34" s="229">
        <v>6090</v>
      </c>
      <c r="H34" s="230"/>
      <c r="I34"/>
      <c r="J34"/>
      <c r="K34"/>
      <c r="L34"/>
      <c r="M34"/>
      <c r="P34" s="190" t="s">
        <v>174</v>
      </c>
    </row>
    <row r="35" spans="1:16" ht="12.95" customHeight="1" x14ac:dyDescent="0.25">
      <c r="A35" s="193"/>
      <c r="B35" s="204"/>
      <c r="C35" s="219"/>
      <c r="E35" s="219"/>
      <c r="G35" s="220"/>
      <c r="H35" s="221"/>
      <c r="I35" s="220"/>
      <c r="J35" s="221"/>
      <c r="K35" s="220"/>
      <c r="L35" s="220"/>
      <c r="M35" s="220"/>
    </row>
    <row r="36" spans="1:16" x14ac:dyDescent="0.25">
      <c r="A36" s="213" t="s">
        <v>7</v>
      </c>
      <c r="B36" s="214"/>
      <c r="C36" s="228">
        <v>12.08</v>
      </c>
      <c r="E36" s="228">
        <v>12.8</v>
      </c>
      <c r="G36" s="229">
        <v>10.6</v>
      </c>
      <c r="H36" s="230"/>
      <c r="I36" s="229">
        <v>5.46</v>
      </c>
      <c r="J36" s="230"/>
      <c r="K36" s="229">
        <v>4</v>
      </c>
      <c r="L36" s="229">
        <v>9.11</v>
      </c>
      <c r="M36" s="229">
        <f t="shared" ref="M36" si="5">L36-K36</f>
        <v>5.1099999999999994</v>
      </c>
      <c r="O36" s="189">
        <v>5</v>
      </c>
      <c r="P36" s="190" t="s">
        <v>175</v>
      </c>
    </row>
    <row r="37" spans="1:16" ht="8.1" customHeight="1" x14ac:dyDescent="0.25">
      <c r="A37" s="193"/>
      <c r="B37" s="204"/>
      <c r="C37" s="219"/>
      <c r="E37" s="219"/>
      <c r="G37" s="220"/>
      <c r="H37" s="221"/>
      <c r="I37" s="220"/>
      <c r="J37" s="221"/>
      <c r="K37" s="220"/>
      <c r="L37" s="220"/>
      <c r="M37" s="220"/>
    </row>
    <row r="38" spans="1:16" x14ac:dyDescent="0.25">
      <c r="A38" s="213" t="s">
        <v>41</v>
      </c>
      <c r="B38" s="214"/>
      <c r="C38" s="228">
        <v>5032.9399999999996</v>
      </c>
      <c r="E38" s="228">
        <v>4595.2</v>
      </c>
      <c r="G38" s="229">
        <v>5104.58</v>
      </c>
      <c r="H38" s="230"/>
      <c r="I38" s="229">
        <v>4771.49</v>
      </c>
      <c r="J38" s="230"/>
      <c r="K38" s="229">
        <v>4750</v>
      </c>
      <c r="L38" s="229">
        <v>4696.04</v>
      </c>
      <c r="M38" s="229">
        <f>L38-K38</f>
        <v>-53.960000000000036</v>
      </c>
      <c r="O38" s="189">
        <v>4700</v>
      </c>
      <c r="P38" s="190" t="s">
        <v>176</v>
      </c>
    </row>
    <row r="39" spans="1:16" ht="12.95" customHeight="1" x14ac:dyDescent="0.25">
      <c r="A39" s="193"/>
      <c r="B39" s="204"/>
      <c r="C39" s="219"/>
      <c r="E39" s="219"/>
      <c r="G39" s="220"/>
      <c r="H39" s="221"/>
      <c r="I39" s="220"/>
      <c r="J39" s="221"/>
      <c r="K39" s="220"/>
      <c r="L39" s="220"/>
      <c r="M39" s="220"/>
    </row>
    <row r="40" spans="1:16" ht="11.1" customHeight="1" x14ac:dyDescent="0.25">
      <c r="A40" s="193"/>
      <c r="B40" s="204"/>
      <c r="C40" s="219"/>
      <c r="E40" s="219"/>
      <c r="G40" s="220"/>
      <c r="H40" s="221"/>
      <c r="I40" s="220"/>
      <c r="J40" s="221"/>
      <c r="K40" s="220"/>
      <c r="L40" s="220"/>
      <c r="M40" s="220"/>
    </row>
    <row r="41" spans="1:16" x14ac:dyDescent="0.25">
      <c r="A41" s="193" t="s">
        <v>177</v>
      </c>
      <c r="B41" s="204"/>
      <c r="C41" s="219"/>
      <c r="E41" s="219"/>
      <c r="G41" s="220"/>
      <c r="H41" s="221"/>
      <c r="I41" s="220"/>
      <c r="J41" s="221"/>
      <c r="K41" s="220"/>
      <c r="L41" s="220"/>
      <c r="M41" s="220">
        <f>L41-K41</f>
        <v>0</v>
      </c>
      <c r="O41" s="189">
        <v>10800</v>
      </c>
    </row>
    <row r="42" spans="1:16" x14ac:dyDescent="0.25">
      <c r="A42" s="193" t="s">
        <v>178</v>
      </c>
      <c r="B42" s="204"/>
      <c r="C42" s="219"/>
      <c r="E42" s="219"/>
      <c r="G42" s="220"/>
      <c r="H42" s="221"/>
      <c r="I42" s="220"/>
      <c r="J42" s="221"/>
      <c r="K42" s="220"/>
      <c r="L42" s="220"/>
      <c r="M42" s="220">
        <f>L42-K42</f>
        <v>0</v>
      </c>
      <c r="O42" s="224">
        <f>-6000-2190</f>
        <v>-8190</v>
      </c>
    </row>
    <row r="43" spans="1:16" x14ac:dyDescent="0.25">
      <c r="A43" s="213" t="s">
        <v>1</v>
      </c>
      <c r="B43" s="214"/>
      <c r="C43" s="232">
        <f>SUM(C41:C42)</f>
        <v>0</v>
      </c>
      <c r="E43" s="232">
        <f>SUM(E41:E42)</f>
        <v>0</v>
      </c>
      <c r="G43" s="233">
        <f t="shared" ref="G43" si="6">SUM(G41:G42)</f>
        <v>0</v>
      </c>
      <c r="H43" s="230"/>
      <c r="I43" s="233">
        <f t="shared" ref="I43" si="7">SUM(I41:I42)</f>
        <v>0</v>
      </c>
      <c r="J43" s="230"/>
      <c r="K43" s="233">
        <f t="shared" ref="K43:L43" si="8">SUM(K41:K42)</f>
        <v>0</v>
      </c>
      <c r="L43" s="233">
        <f t="shared" si="8"/>
        <v>0</v>
      </c>
      <c r="M43" s="233">
        <f>L43-K43</f>
        <v>0</v>
      </c>
      <c r="O43" s="189">
        <f>SUM(O41:O42)</f>
        <v>2610</v>
      </c>
    </row>
    <row r="44" spans="1:16" ht="11.1" customHeight="1" x14ac:dyDescent="0.25">
      <c r="A44" s="193"/>
      <c r="B44" s="204"/>
      <c r="C44" s="219"/>
      <c r="E44" s="219"/>
      <c r="G44" s="220"/>
      <c r="H44" s="221"/>
      <c r="I44" s="220"/>
      <c r="J44" s="221"/>
      <c r="K44" s="220"/>
      <c r="L44" s="220"/>
      <c r="M44" s="220"/>
    </row>
    <row r="45" spans="1:16" x14ac:dyDescent="0.25">
      <c r="A45" s="193" t="s">
        <v>179</v>
      </c>
      <c r="B45" s="204"/>
      <c r="C45" s="219">
        <v>11146</v>
      </c>
      <c r="E45" s="219">
        <v>13535</v>
      </c>
      <c r="G45" s="220">
        <v>12953</v>
      </c>
      <c r="H45" s="221"/>
      <c r="I45" s="220">
        <v>11066</v>
      </c>
      <c r="J45" s="221"/>
      <c r="K45" s="220">
        <v>10000</v>
      </c>
      <c r="L45" s="220">
        <v>13152</v>
      </c>
      <c r="M45" s="220">
        <f>L45-K45</f>
        <v>3152</v>
      </c>
      <c r="O45" s="189">
        <v>15800</v>
      </c>
    </row>
    <row r="46" spans="1:16" x14ac:dyDescent="0.25">
      <c r="A46" s="193" t="s">
        <v>45</v>
      </c>
      <c r="B46" s="204"/>
      <c r="C46" s="219">
        <v>-6402.42</v>
      </c>
      <c r="E46" s="219">
        <v>-8883.6299999999992</v>
      </c>
      <c r="G46" s="220">
        <v>-7792.74</v>
      </c>
      <c r="H46" s="221"/>
      <c r="I46" s="220">
        <f>-7806.5+-120.22</f>
        <v>-7926.72</v>
      </c>
      <c r="J46" s="221"/>
      <c r="K46" s="220">
        <v>-6000</v>
      </c>
      <c r="L46" s="220">
        <f>-7825.5+-97.67</f>
        <v>-7923.17</v>
      </c>
      <c r="M46" s="220">
        <f>L46-K46</f>
        <v>-1923.17</v>
      </c>
      <c r="O46" s="224">
        <v>-9500</v>
      </c>
    </row>
    <row r="47" spans="1:16" x14ac:dyDescent="0.25">
      <c r="A47" s="213" t="s">
        <v>1</v>
      </c>
      <c r="B47" s="214"/>
      <c r="C47" s="232">
        <f>SUM(C45:C46)</f>
        <v>4743.58</v>
      </c>
      <c r="E47" s="232">
        <f>SUM(E45:E46)</f>
        <v>4651.3700000000008</v>
      </c>
      <c r="G47" s="233">
        <f t="shared" ref="G47:L47" si="9">SUM(G45:G46)</f>
        <v>5160.26</v>
      </c>
      <c r="H47" s="230"/>
      <c r="I47" s="233">
        <f t="shared" si="9"/>
        <v>3139.2799999999997</v>
      </c>
      <c r="J47" s="230"/>
      <c r="K47" s="233">
        <f t="shared" si="9"/>
        <v>4000</v>
      </c>
      <c r="L47" s="233">
        <f t="shared" si="9"/>
        <v>5228.83</v>
      </c>
      <c r="M47" s="233">
        <f>L47-K47</f>
        <v>1228.83</v>
      </c>
      <c r="O47" s="189">
        <f>SUM(O45:O46)</f>
        <v>6300</v>
      </c>
    </row>
    <row r="48" spans="1:16" ht="12" customHeight="1" x14ac:dyDescent="0.25">
      <c r="A48" s="193"/>
      <c r="B48" s="204"/>
      <c r="C48" s="219"/>
      <c r="E48" s="219"/>
      <c r="G48" s="220"/>
      <c r="H48" s="221"/>
      <c r="I48" s="220"/>
      <c r="J48" s="221"/>
      <c r="K48" s="220"/>
      <c r="L48" s="220"/>
      <c r="M48" s="220"/>
    </row>
    <row r="49" spans="1:16" x14ac:dyDescent="0.25">
      <c r="A49" s="193" t="s">
        <v>180</v>
      </c>
      <c r="B49" s="204"/>
      <c r="C49" s="219">
        <v>7500</v>
      </c>
      <c r="E49" s="219">
        <v>10000</v>
      </c>
      <c r="G49" s="220">
        <v>10000</v>
      </c>
      <c r="H49" s="221"/>
      <c r="I49" s="220">
        <v>10000</v>
      </c>
      <c r="J49" s="221"/>
      <c r="K49" s="220">
        <v>9000</v>
      </c>
      <c r="L49" s="220">
        <v>11250</v>
      </c>
      <c r="M49" s="220">
        <f>L49-K49</f>
        <v>2250</v>
      </c>
      <c r="O49" s="189">
        <v>10000</v>
      </c>
      <c r="P49" s="190" t="s">
        <v>181</v>
      </c>
    </row>
    <row r="50" spans="1:16" x14ac:dyDescent="0.25">
      <c r="A50" s="234" t="s">
        <v>182</v>
      </c>
      <c r="B50" s="204"/>
      <c r="C50" s="219">
        <v>4000</v>
      </c>
      <c r="E50" s="219"/>
      <c r="G50" s="220"/>
      <c r="H50" s="221"/>
      <c r="I50" s="220"/>
      <c r="J50" s="221"/>
      <c r="K50" s="220"/>
      <c r="L50" s="220">
        <v>1020.05</v>
      </c>
      <c r="M50" s="220">
        <f>L50-K50</f>
        <v>1020.05</v>
      </c>
      <c r="O50" s="189">
        <v>0</v>
      </c>
      <c r="P50" s="190" t="s">
        <v>183</v>
      </c>
    </row>
    <row r="51" spans="1:16" ht="12" customHeight="1" x14ac:dyDescent="0.25">
      <c r="A51" s="193"/>
      <c r="B51" s="204"/>
      <c r="C51" s="219"/>
      <c r="E51" s="219"/>
      <c r="G51" s="220"/>
      <c r="H51" s="221"/>
      <c r="I51" s="220"/>
      <c r="J51" s="221"/>
      <c r="K51" s="220"/>
      <c r="L51" s="220"/>
      <c r="M51" s="220"/>
    </row>
    <row r="52" spans="1:16" x14ac:dyDescent="0.25">
      <c r="A52" s="213" t="s">
        <v>184</v>
      </c>
      <c r="B52" s="214"/>
      <c r="C52" s="232">
        <f>+C50+C49+C47+C34+C30+C38+C36+C22</f>
        <v>57834.83</v>
      </c>
      <c r="E52" s="232">
        <f>+E50+E49+E47+E34+E30+E38+E36+E22</f>
        <v>42606.039999999994</v>
      </c>
      <c r="G52" s="233">
        <f>+G50+G49+G47+G34+G30+G38+G36+G22</f>
        <v>56938.490000000005</v>
      </c>
      <c r="H52" s="230"/>
      <c r="I52" s="233">
        <f>+I50+I49+I47+I34+I30+I38+I36++I22</f>
        <v>39500.989999999991</v>
      </c>
      <c r="J52" s="230"/>
      <c r="K52" s="233">
        <f>+K50+K49+K47+K34+K30+K38+K36++K22</f>
        <v>37045</v>
      </c>
      <c r="L52" s="233">
        <f>+L50+L49+L47+L34+L30+L38+L36++L22</f>
        <v>42236.54</v>
      </c>
      <c r="M52" s="233">
        <f>L52-K52</f>
        <v>5191.5400000000009</v>
      </c>
      <c r="O52" s="218">
        <f>SUM(O22,O30,O36,O38,O43,O47,O49)</f>
        <v>42600.5</v>
      </c>
    </row>
    <row r="53" spans="1:16" ht="14.1" customHeight="1" x14ac:dyDescent="0.25">
      <c r="A53" s="193"/>
      <c r="B53" s="204"/>
      <c r="C53" s="219"/>
      <c r="E53" s="219"/>
      <c r="G53" s="220"/>
      <c r="H53" s="221"/>
      <c r="I53" s="220"/>
      <c r="J53" s="221"/>
      <c r="K53" s="220"/>
      <c r="L53" s="220"/>
      <c r="M53" s="220"/>
    </row>
    <row r="54" spans="1:16" x14ac:dyDescent="0.25">
      <c r="A54" s="235" t="s">
        <v>56</v>
      </c>
      <c r="B54" s="204"/>
      <c r="C54" s="219"/>
      <c r="E54" s="219"/>
      <c r="G54" s="220"/>
      <c r="H54" s="221"/>
      <c r="I54" s="220"/>
      <c r="J54" s="221"/>
      <c r="K54" s="220"/>
      <c r="L54" s="220"/>
      <c r="M54" s="220"/>
    </row>
    <row r="55" spans="1:16" x14ac:dyDescent="0.25">
      <c r="A55" s="193" t="s">
        <v>20</v>
      </c>
      <c r="B55" s="204"/>
      <c r="C55" s="219">
        <v>2497.56</v>
      </c>
      <c r="E55" s="219">
        <v>3810.92</v>
      </c>
      <c r="G55" s="220">
        <v>3646.72</v>
      </c>
      <c r="H55" s="221"/>
      <c r="I55" s="220">
        <v>2104.61</v>
      </c>
      <c r="J55" s="221"/>
      <c r="K55" s="220">
        <v>2400</v>
      </c>
      <c r="L55" s="220">
        <v>1911.4</v>
      </c>
      <c r="M55" s="220">
        <f>L55-K55</f>
        <v>-488.59999999999991</v>
      </c>
      <c r="O55" s="189">
        <v>2400</v>
      </c>
      <c r="P55" s="190" t="s">
        <v>185</v>
      </c>
    </row>
    <row r="56" spans="1:16" x14ac:dyDescent="0.25">
      <c r="A56" s="193" t="s">
        <v>21</v>
      </c>
      <c r="B56" s="204"/>
      <c r="C56" s="219">
        <v>-2737</v>
      </c>
      <c r="E56" s="219">
        <v>-2630</v>
      </c>
      <c r="G56" s="220">
        <v>-2124</v>
      </c>
      <c r="H56" s="221"/>
      <c r="I56" s="220">
        <v>-1425</v>
      </c>
      <c r="J56" s="221"/>
      <c r="K56" s="220">
        <v>-1300</v>
      </c>
      <c r="L56" s="220">
        <v>-1333</v>
      </c>
      <c r="M56" s="220">
        <f>L56-K56</f>
        <v>-33</v>
      </c>
      <c r="O56" s="224">
        <v>-1300</v>
      </c>
      <c r="P56" s="190" t="s">
        <v>186</v>
      </c>
    </row>
    <row r="57" spans="1:16" x14ac:dyDescent="0.25">
      <c r="A57" s="213" t="s">
        <v>22</v>
      </c>
      <c r="B57" s="214"/>
      <c r="C57" s="236">
        <f>SUM(C55:C56)</f>
        <v>-239.44000000000005</v>
      </c>
      <c r="E57" s="232">
        <f>SUM(E55:E56)</f>
        <v>1180.92</v>
      </c>
      <c r="G57" s="233">
        <f t="shared" ref="G57:L57" si="10">SUM(G55:G56)</f>
        <v>1522.7199999999998</v>
      </c>
      <c r="H57" s="230"/>
      <c r="I57" s="233">
        <f t="shared" si="10"/>
        <v>679.61000000000013</v>
      </c>
      <c r="J57" s="230"/>
      <c r="K57" s="233">
        <f t="shared" si="10"/>
        <v>1100</v>
      </c>
      <c r="L57" s="233">
        <f t="shared" si="10"/>
        <v>578.40000000000009</v>
      </c>
      <c r="M57" s="233">
        <f>L57-K57</f>
        <v>-521.59999999999991</v>
      </c>
      <c r="O57" s="218">
        <f>SUM(O55:O56)</f>
        <v>1100</v>
      </c>
    </row>
    <row r="58" spans="1:16" ht="9" customHeight="1" x14ac:dyDescent="0.25">
      <c r="A58" s="193"/>
      <c r="B58" s="204"/>
      <c r="C58" s="219"/>
      <c r="E58" s="219"/>
      <c r="G58" s="220"/>
      <c r="H58" s="221"/>
      <c r="I58" s="220"/>
      <c r="J58" s="221"/>
      <c r="K58" s="220"/>
      <c r="L58" s="220"/>
      <c r="M58" s="220"/>
    </row>
    <row r="59" spans="1:16" x14ac:dyDescent="0.25">
      <c r="A59" s="213" t="s">
        <v>57</v>
      </c>
      <c r="B59" s="214"/>
      <c r="C59" s="228">
        <v>500</v>
      </c>
      <c r="E59" s="228">
        <v>500</v>
      </c>
      <c r="G59" s="229">
        <v>500</v>
      </c>
      <c r="H59" s="230"/>
      <c r="I59" s="229">
        <v>500</v>
      </c>
      <c r="J59" s="230"/>
      <c r="K59" s="229">
        <v>500</v>
      </c>
      <c r="L59" s="229">
        <v>500</v>
      </c>
      <c r="M59" s="229">
        <f>L59-K59</f>
        <v>0</v>
      </c>
      <c r="O59" s="218">
        <v>500</v>
      </c>
      <c r="P59" s="190" t="s">
        <v>187</v>
      </c>
    </row>
    <row r="60" spans="1:16" ht="12" customHeight="1" x14ac:dyDescent="0.25">
      <c r="A60" s="193"/>
      <c r="B60" s="204"/>
      <c r="C60" s="219"/>
      <c r="E60" s="219"/>
      <c r="G60" s="220"/>
      <c r="H60" s="221"/>
      <c r="I60" s="220"/>
      <c r="J60" s="221"/>
      <c r="K60" s="220"/>
      <c r="L60" s="220"/>
      <c r="M60" s="220"/>
    </row>
    <row r="61" spans="1:16" x14ac:dyDescent="0.25">
      <c r="A61" s="193" t="s">
        <v>188</v>
      </c>
      <c r="B61" s="204"/>
      <c r="C61" s="219">
        <v>8857.4500000000007</v>
      </c>
      <c r="E61" s="219">
        <v>11195.09</v>
      </c>
      <c r="G61" s="220">
        <v>9566.36</v>
      </c>
      <c r="H61" s="221"/>
      <c r="I61" s="220">
        <v>9429.6299999999992</v>
      </c>
      <c r="J61" s="221"/>
      <c r="K61" s="220">
        <v>10000</v>
      </c>
      <c r="L61" s="220">
        <v>8332.2800000000007</v>
      </c>
      <c r="M61" s="220">
        <f>L61-K61</f>
        <v>-1667.7199999999993</v>
      </c>
      <c r="O61" s="189">
        <v>9000</v>
      </c>
      <c r="P61" s="190" t="s">
        <v>189</v>
      </c>
    </row>
    <row r="62" spans="1:16" x14ac:dyDescent="0.25">
      <c r="A62" s="193" t="s">
        <v>58</v>
      </c>
      <c r="B62" s="204"/>
      <c r="C62" s="222">
        <v>-7920</v>
      </c>
      <c r="E62" s="222">
        <v>-8240</v>
      </c>
      <c r="G62" s="223">
        <v>-7750</v>
      </c>
      <c r="H62" s="221"/>
      <c r="I62" s="223">
        <v>-7735</v>
      </c>
      <c r="J62" s="221"/>
      <c r="K62" s="223">
        <v>-8000</v>
      </c>
      <c r="L62" s="223">
        <v>-7875</v>
      </c>
      <c r="M62" s="223">
        <f>L62-K62</f>
        <v>125</v>
      </c>
      <c r="O62" s="224">
        <v>-7000</v>
      </c>
      <c r="P62" s="190" t="s">
        <v>190</v>
      </c>
    </row>
    <row r="63" spans="1:16" x14ac:dyDescent="0.25">
      <c r="A63" s="213" t="s">
        <v>37</v>
      </c>
      <c r="B63" s="214"/>
      <c r="C63" s="237">
        <f>SUM(C61:C62)</f>
        <v>937.45000000000073</v>
      </c>
      <c r="E63" s="228">
        <f>SUM(E61:E62)</f>
        <v>2955.09</v>
      </c>
      <c r="G63" s="229">
        <f t="shared" ref="G63:L63" si="11">SUM(G61:G62)</f>
        <v>1816.3600000000006</v>
      </c>
      <c r="H63" s="230"/>
      <c r="I63" s="229">
        <f t="shared" si="11"/>
        <v>1694.6299999999992</v>
      </c>
      <c r="J63" s="230"/>
      <c r="K63" s="229">
        <f t="shared" si="11"/>
        <v>2000</v>
      </c>
      <c r="L63" s="229">
        <f t="shared" si="11"/>
        <v>457.28000000000065</v>
      </c>
      <c r="M63" s="229">
        <f>L63-K63</f>
        <v>-1542.7199999999993</v>
      </c>
      <c r="O63" s="218">
        <f>SUM(O61:O62)</f>
        <v>2000</v>
      </c>
      <c r="P63" s="190" t="s">
        <v>191</v>
      </c>
    </row>
    <row r="64" spans="1:16" ht="18" customHeight="1" x14ac:dyDescent="0.25">
      <c r="A64" s="193"/>
      <c r="B64" s="204"/>
      <c r="C64" s="219"/>
      <c r="E64" s="219"/>
      <c r="G64" s="220"/>
      <c r="H64" s="221"/>
      <c r="I64" s="220"/>
      <c r="J64" s="221"/>
      <c r="K64" s="220"/>
      <c r="L64" s="220"/>
      <c r="M64" s="220"/>
    </row>
    <row r="65" spans="1:16" hidden="1" x14ac:dyDescent="0.25">
      <c r="A65" s="193" t="s">
        <v>192</v>
      </c>
      <c r="B65" s="204"/>
      <c r="C65" s="219"/>
      <c r="E65" s="219">
        <v>167.5</v>
      </c>
      <c r="G65" s="220">
        <v>86</v>
      </c>
      <c r="H65" s="221"/>
      <c r="I65" s="220">
        <v>0</v>
      </c>
      <c r="J65" s="221"/>
      <c r="K65" s="220">
        <v>100</v>
      </c>
      <c r="L65" s="220"/>
      <c r="M65" s="220">
        <f>L65-K65</f>
        <v>-100</v>
      </c>
      <c r="P65" s="190" t="s">
        <v>193</v>
      </c>
    </row>
    <row r="66" spans="1:16" hidden="1" x14ac:dyDescent="0.25">
      <c r="A66" s="193" t="s">
        <v>16</v>
      </c>
      <c r="B66" s="204"/>
      <c r="C66" s="219"/>
      <c r="E66" s="219">
        <v>2100</v>
      </c>
      <c r="G66" s="220"/>
      <c r="H66" s="221"/>
      <c r="I66" s="220"/>
      <c r="J66" s="221"/>
      <c r="K66" s="220"/>
      <c r="L66" s="220"/>
      <c r="M66" s="220">
        <f t="shared" ref="M66:M81" si="12">L66-K66</f>
        <v>0</v>
      </c>
      <c r="P66" s="190" t="s">
        <v>193</v>
      </c>
    </row>
    <row r="67" spans="1:16" hidden="1" x14ac:dyDescent="0.25">
      <c r="A67" s="193" t="s">
        <v>2</v>
      </c>
      <c r="B67" s="204"/>
      <c r="C67" s="219">
        <v>1497</v>
      </c>
      <c r="E67" s="219">
        <v>0</v>
      </c>
      <c r="G67" s="220"/>
      <c r="H67" s="221"/>
      <c r="I67" s="220"/>
      <c r="J67" s="221"/>
      <c r="K67" s="220"/>
      <c r="L67" s="220"/>
      <c r="M67" s="220">
        <f t="shared" si="12"/>
        <v>0</v>
      </c>
      <c r="P67" s="190" t="s">
        <v>193</v>
      </c>
    </row>
    <row r="68" spans="1:16" hidden="1" x14ac:dyDescent="0.25">
      <c r="A68" s="193" t="s">
        <v>194</v>
      </c>
      <c r="B68" s="204"/>
      <c r="C68" s="219"/>
      <c r="E68" s="219">
        <v>0</v>
      </c>
      <c r="G68" s="220"/>
      <c r="H68" s="221"/>
      <c r="I68" s="220"/>
      <c r="J68" s="221"/>
      <c r="K68" s="220"/>
      <c r="L68" s="220"/>
      <c r="M68" s="220">
        <f t="shared" si="12"/>
        <v>0</v>
      </c>
      <c r="P68" s="190" t="s">
        <v>193</v>
      </c>
    </row>
    <row r="69" spans="1:16" x14ac:dyDescent="0.25">
      <c r="A69" s="193" t="s">
        <v>55</v>
      </c>
      <c r="B69" s="204"/>
      <c r="C69" s="219">
        <v>2376.9</v>
      </c>
      <c r="E69" s="219">
        <v>2568.64</v>
      </c>
      <c r="G69" s="220">
        <v>2436.02</v>
      </c>
      <c r="H69" s="221"/>
      <c r="I69" s="220">
        <v>2383.85</v>
      </c>
      <c r="J69" s="221"/>
      <c r="K69" s="220">
        <v>2600</v>
      </c>
      <c r="L69" s="220">
        <v>2481.15</v>
      </c>
      <c r="M69" s="220">
        <f t="shared" si="12"/>
        <v>-118.84999999999991</v>
      </c>
      <c r="O69" s="189">
        <v>0</v>
      </c>
    </row>
    <row r="70" spans="1:16" hidden="1" x14ac:dyDescent="0.25">
      <c r="A70" s="193" t="s">
        <v>47</v>
      </c>
      <c r="B70" s="204"/>
      <c r="C70" s="219"/>
      <c r="E70" s="219">
        <v>0</v>
      </c>
      <c r="G70" s="220"/>
      <c r="H70" s="221"/>
      <c r="I70" s="220"/>
      <c r="J70" s="221"/>
      <c r="K70" s="220"/>
      <c r="L70" s="220"/>
      <c r="M70" s="220">
        <f t="shared" si="12"/>
        <v>0</v>
      </c>
      <c r="P70" s="190" t="s">
        <v>193</v>
      </c>
    </row>
    <row r="71" spans="1:16" x14ac:dyDescent="0.25">
      <c r="A71" s="193" t="s">
        <v>27</v>
      </c>
      <c r="B71" s="204"/>
      <c r="C71" s="219">
        <v>1213.97</v>
      </c>
      <c r="E71" s="219">
        <v>2496.19</v>
      </c>
      <c r="G71" s="220">
        <v>3143.73</v>
      </c>
      <c r="H71" s="221"/>
      <c r="I71" s="220">
        <v>2769.67</v>
      </c>
      <c r="J71" s="221"/>
      <c r="K71" s="220">
        <v>2850</v>
      </c>
      <c r="L71" s="220">
        <v>3128.34</v>
      </c>
      <c r="M71" s="220">
        <f t="shared" si="12"/>
        <v>278.34000000000015</v>
      </c>
      <c r="O71" s="189">
        <v>2925</v>
      </c>
      <c r="P71" s="190" t="s">
        <v>195</v>
      </c>
    </row>
    <row r="72" spans="1:16" x14ac:dyDescent="0.25">
      <c r="A72" s="193" t="s">
        <v>28</v>
      </c>
      <c r="B72" s="204"/>
      <c r="C72" s="219"/>
      <c r="E72" s="219">
        <v>88.67</v>
      </c>
      <c r="G72" s="220">
        <v>39.520000000000003</v>
      </c>
      <c r="H72" s="221"/>
      <c r="I72" s="220">
        <v>24.48</v>
      </c>
      <c r="J72" s="221"/>
      <c r="K72" s="220">
        <v>50</v>
      </c>
      <c r="L72" s="220">
        <v>32.75</v>
      </c>
      <c r="M72" s="220">
        <f t="shared" si="12"/>
        <v>-17.25</v>
      </c>
      <c r="O72" s="189">
        <v>50</v>
      </c>
      <c r="P72" s="190" t="s">
        <v>196</v>
      </c>
    </row>
    <row r="73" spans="1:16" x14ac:dyDescent="0.25">
      <c r="A73" s="193" t="s">
        <v>59</v>
      </c>
      <c r="B73" s="204"/>
      <c r="C73" s="219">
        <v>434.56</v>
      </c>
      <c r="E73" s="219">
        <v>365</v>
      </c>
      <c r="G73" s="220">
        <v>623.35</v>
      </c>
      <c r="H73" s="221"/>
      <c r="I73" s="220">
        <v>748.14</v>
      </c>
      <c r="J73" s="221"/>
      <c r="K73" s="220">
        <v>700</v>
      </c>
      <c r="L73" s="220">
        <v>585.26</v>
      </c>
      <c r="M73" s="220">
        <f t="shared" si="12"/>
        <v>-114.74000000000001</v>
      </c>
      <c r="O73" s="189">
        <v>675</v>
      </c>
      <c r="P73" s="190" t="s">
        <v>197</v>
      </c>
    </row>
    <row r="74" spans="1:16" hidden="1" x14ac:dyDescent="0.25">
      <c r="A74" s="193" t="s">
        <v>34</v>
      </c>
      <c r="B74" s="204"/>
      <c r="C74" s="219">
        <v>183.34</v>
      </c>
      <c r="E74" s="219">
        <v>71.739999999999995</v>
      </c>
      <c r="G74" s="220"/>
      <c r="H74" s="221"/>
      <c r="I74" s="220"/>
      <c r="J74" s="221"/>
      <c r="K74" s="220"/>
      <c r="L74" s="220"/>
      <c r="M74" s="220">
        <f t="shared" si="12"/>
        <v>0</v>
      </c>
      <c r="P74" s="190" t="s">
        <v>193</v>
      </c>
    </row>
    <row r="75" spans="1:16" hidden="1" x14ac:dyDescent="0.25">
      <c r="A75" s="193" t="s">
        <v>42</v>
      </c>
      <c r="B75" s="204"/>
      <c r="C75" s="219"/>
      <c r="E75" s="219"/>
      <c r="G75" s="220"/>
      <c r="H75" s="221"/>
      <c r="I75" s="220"/>
      <c r="J75" s="221"/>
      <c r="K75" s="220"/>
      <c r="L75" s="220"/>
      <c r="M75" s="220">
        <f t="shared" si="12"/>
        <v>0</v>
      </c>
      <c r="P75" s="190" t="s">
        <v>193</v>
      </c>
    </row>
    <row r="76" spans="1:16" x14ac:dyDescent="0.25">
      <c r="A76" s="193" t="s">
        <v>112</v>
      </c>
      <c r="B76" s="204"/>
      <c r="C76" s="219"/>
      <c r="E76" s="219"/>
      <c r="G76" s="220"/>
      <c r="H76" s="221"/>
      <c r="I76" s="220"/>
      <c r="J76" s="221"/>
      <c r="K76" s="220"/>
      <c r="L76" s="220"/>
      <c r="M76" s="220">
        <f t="shared" si="12"/>
        <v>0</v>
      </c>
      <c r="O76" s="189">
        <v>135</v>
      </c>
      <c r="P76" s="190" t="s">
        <v>198</v>
      </c>
    </row>
    <row r="77" spans="1:16" x14ac:dyDescent="0.25">
      <c r="A77" s="193" t="s">
        <v>53</v>
      </c>
      <c r="B77" s="204"/>
      <c r="C77" s="219">
        <v>3000.98</v>
      </c>
      <c r="E77" s="219">
        <v>2066.88</v>
      </c>
      <c r="G77" s="220">
        <v>2806.56</v>
      </c>
      <c r="H77" s="221"/>
      <c r="I77" s="220">
        <v>3464.06</v>
      </c>
      <c r="J77" s="221"/>
      <c r="K77" s="220">
        <v>3500</v>
      </c>
      <c r="L77" s="220">
        <v>3148.88</v>
      </c>
      <c r="M77" s="220">
        <f t="shared" si="12"/>
        <v>-351.11999999999989</v>
      </c>
      <c r="O77" s="189">
        <v>3500</v>
      </c>
      <c r="P77" s="190" t="s">
        <v>199</v>
      </c>
    </row>
    <row r="78" spans="1:16" x14ac:dyDescent="0.25">
      <c r="A78" s="193" t="s">
        <v>200</v>
      </c>
      <c r="B78" s="204"/>
      <c r="C78" s="219">
        <v>500</v>
      </c>
      <c r="E78" s="219">
        <v>239.85</v>
      </c>
      <c r="G78" s="220">
        <v>366.26</v>
      </c>
      <c r="H78" s="221"/>
      <c r="I78" s="220">
        <v>416.87</v>
      </c>
      <c r="J78" s="221"/>
      <c r="K78" s="220">
        <v>450</v>
      </c>
      <c r="L78" s="220">
        <v>383.71</v>
      </c>
      <c r="M78" s="220">
        <f t="shared" si="12"/>
        <v>-66.29000000000002</v>
      </c>
      <c r="O78" s="189">
        <v>400</v>
      </c>
      <c r="P78" s="190" t="s">
        <v>201</v>
      </c>
    </row>
    <row r="79" spans="1:16" hidden="1" x14ac:dyDescent="0.25">
      <c r="A79" s="234" t="s">
        <v>64</v>
      </c>
      <c r="B79" s="204"/>
      <c r="C79" s="219">
        <v>500</v>
      </c>
      <c r="E79" s="219"/>
      <c r="G79" s="220"/>
      <c r="H79" s="221"/>
      <c r="I79" s="220"/>
      <c r="J79" s="221"/>
      <c r="K79" s="220"/>
      <c r="L79" s="220"/>
      <c r="M79" s="220">
        <f t="shared" si="12"/>
        <v>0</v>
      </c>
      <c r="P79" s="190" t="s">
        <v>193</v>
      </c>
    </row>
    <row r="80" spans="1:16" hidden="1" x14ac:dyDescent="0.25">
      <c r="A80" s="193" t="s">
        <v>202</v>
      </c>
      <c r="B80" s="204"/>
      <c r="C80" s="219">
        <v>500</v>
      </c>
      <c r="E80" s="219"/>
      <c r="G80" s="220"/>
      <c r="H80" s="221"/>
      <c r="I80" s="220"/>
      <c r="J80" s="221"/>
      <c r="K80" s="220"/>
      <c r="L80" s="220"/>
      <c r="M80" s="220">
        <f t="shared" si="12"/>
        <v>0</v>
      </c>
      <c r="P80" s="190" t="s">
        <v>193</v>
      </c>
    </row>
    <row r="81" spans="1:16" x14ac:dyDescent="0.25">
      <c r="A81" s="193" t="s">
        <v>46</v>
      </c>
      <c r="B81" s="204"/>
      <c r="C81" s="219">
        <v>2153.65</v>
      </c>
      <c r="E81" s="219">
        <v>2641.5</v>
      </c>
      <c r="G81" s="220">
        <v>1270.4100000000001</v>
      </c>
      <c r="H81" s="221"/>
      <c r="I81" s="220">
        <v>707.98</v>
      </c>
      <c r="J81" s="221"/>
      <c r="K81" s="220">
        <v>2700</v>
      </c>
      <c r="L81" s="220">
        <v>2196.02</v>
      </c>
      <c r="M81" s="220">
        <f t="shared" si="12"/>
        <v>-503.98</v>
      </c>
      <c r="O81" s="189">
        <v>2700</v>
      </c>
      <c r="P81" s="190" t="s">
        <v>203</v>
      </c>
    </row>
    <row r="82" spans="1:16" x14ac:dyDescent="0.25">
      <c r="A82" s="208" t="s">
        <v>204</v>
      </c>
      <c r="B82" s="204"/>
      <c r="C82" s="238">
        <f>SUM(C65:C81)</f>
        <v>12360.4</v>
      </c>
      <c r="D82" s="239"/>
      <c r="E82" s="238">
        <f>SUM(E65:E81)</f>
        <v>12805.97</v>
      </c>
      <c r="G82" s="240">
        <f t="shared" ref="G82:L82" si="13">SUM(G65:G81)</f>
        <v>10771.85</v>
      </c>
      <c r="H82" s="221"/>
      <c r="I82" s="240">
        <f t="shared" si="13"/>
        <v>10515.050000000001</v>
      </c>
      <c r="J82" s="221"/>
      <c r="K82" s="240">
        <f t="shared" si="13"/>
        <v>12950</v>
      </c>
      <c r="L82" s="240">
        <f t="shared" si="13"/>
        <v>11956.11</v>
      </c>
      <c r="M82" s="240">
        <f>L82-K82</f>
        <v>-993.88999999999942</v>
      </c>
      <c r="O82" s="241">
        <f>SUM(O69:O81)</f>
        <v>10385</v>
      </c>
    </row>
    <row r="83" spans="1:16" ht="9" customHeight="1" x14ac:dyDescent="0.25">
      <c r="A83" s="193"/>
      <c r="B83" s="204"/>
      <c r="C83" s="219"/>
      <c r="E83" s="219"/>
      <c r="G83" s="220"/>
      <c r="H83" s="221"/>
      <c r="I83" s="220"/>
      <c r="J83" s="221"/>
      <c r="K83" s="220"/>
      <c r="L83" s="220"/>
      <c r="M83" s="220"/>
    </row>
    <row r="84" spans="1:16" x14ac:dyDescent="0.25">
      <c r="A84" s="213" t="s">
        <v>205</v>
      </c>
      <c r="B84" s="214"/>
      <c r="C84" s="236">
        <f>SUM(C82,C59,C57,C63)</f>
        <v>13558.41</v>
      </c>
      <c r="E84" s="236">
        <f>SUM(E82,E59,E57,E63)</f>
        <v>17441.98</v>
      </c>
      <c r="G84" s="242">
        <f t="shared" ref="G84:L84" si="14">SUM(G82,G59,G57,G63)</f>
        <v>14610.93</v>
      </c>
      <c r="H84" s="243"/>
      <c r="I84" s="242">
        <f t="shared" si="14"/>
        <v>13389.29</v>
      </c>
      <c r="J84" s="243"/>
      <c r="K84" s="242">
        <f t="shared" si="14"/>
        <v>16550</v>
      </c>
      <c r="L84" s="242">
        <f t="shared" si="14"/>
        <v>13491.79</v>
      </c>
      <c r="M84" s="242">
        <f>L84-K84</f>
        <v>-3058.2099999999991</v>
      </c>
      <c r="O84" s="244">
        <f>SUM(O82,O63,O59,O57)</f>
        <v>13985</v>
      </c>
    </row>
    <row r="85" spans="1:16" ht="11.1" customHeight="1" x14ac:dyDescent="0.25">
      <c r="A85" s="213"/>
      <c r="B85" s="214"/>
      <c r="C85" s="245"/>
      <c r="E85" s="245"/>
      <c r="G85" s="230"/>
      <c r="H85" s="230"/>
      <c r="I85" s="230"/>
      <c r="J85" s="230"/>
      <c r="K85" s="230"/>
      <c r="L85" s="230"/>
      <c r="M85" s="230"/>
    </row>
    <row r="86" spans="1:16" x14ac:dyDescent="0.25">
      <c r="A86" s="235" t="s">
        <v>44</v>
      </c>
      <c r="B86" s="204"/>
      <c r="C86" s="219"/>
      <c r="E86" s="219"/>
      <c r="G86" s="220"/>
      <c r="H86" s="221"/>
      <c r="I86" s="220"/>
      <c r="J86" s="221"/>
      <c r="K86" s="220"/>
      <c r="L86" s="220"/>
      <c r="M86" s="220"/>
    </row>
    <row r="87" spans="1:16" x14ac:dyDescent="0.25">
      <c r="A87" s="193" t="s">
        <v>8</v>
      </c>
      <c r="B87" s="204"/>
      <c r="C87" s="219">
        <v>785</v>
      </c>
      <c r="E87" s="219">
        <v>785</v>
      </c>
      <c r="G87" s="220">
        <v>812.06</v>
      </c>
      <c r="H87" s="221"/>
      <c r="I87" s="220">
        <v>835</v>
      </c>
      <c r="J87" s="221"/>
      <c r="K87" s="220">
        <v>875</v>
      </c>
      <c r="L87" s="220">
        <v>835</v>
      </c>
      <c r="M87" s="220">
        <f>L87-K87</f>
        <v>-40</v>
      </c>
      <c r="O87" s="189">
        <f>885+70</f>
        <v>955</v>
      </c>
      <c r="P87" s="190" t="s">
        <v>206</v>
      </c>
    </row>
    <row r="88" spans="1:16" x14ac:dyDescent="0.25">
      <c r="A88" s="193" t="s">
        <v>105</v>
      </c>
      <c r="B88" s="204"/>
      <c r="C88" s="219"/>
      <c r="E88" s="219"/>
      <c r="G88" s="220"/>
      <c r="H88" s="221"/>
      <c r="I88" s="220"/>
      <c r="J88" s="221"/>
      <c r="K88" s="220"/>
      <c r="L88" s="220"/>
      <c r="M88" s="220">
        <f t="shared" ref="M88:M96" si="15">L88-K88</f>
        <v>0</v>
      </c>
      <c r="O88" s="189">
        <v>250</v>
      </c>
      <c r="P88" s="190" t="s">
        <v>207</v>
      </c>
    </row>
    <row r="89" spans="1:16" x14ac:dyDescent="0.25">
      <c r="A89" s="193" t="s">
        <v>102</v>
      </c>
      <c r="B89" s="204"/>
      <c r="C89" s="219"/>
      <c r="E89" s="219"/>
      <c r="G89" s="220"/>
      <c r="H89" s="221"/>
      <c r="I89" s="220"/>
      <c r="J89" s="221"/>
      <c r="K89" s="220"/>
      <c r="L89" s="220"/>
      <c r="M89" s="220">
        <f t="shared" si="15"/>
        <v>0</v>
      </c>
      <c r="O89" s="189">
        <v>200</v>
      </c>
      <c r="P89" s="190" t="s">
        <v>208</v>
      </c>
    </row>
    <row r="90" spans="1:16" x14ac:dyDescent="0.25">
      <c r="A90" s="193" t="s">
        <v>209</v>
      </c>
      <c r="B90" s="204"/>
      <c r="C90" s="219"/>
      <c r="E90" s="219">
        <v>20</v>
      </c>
      <c r="G90" s="220">
        <v>20</v>
      </c>
      <c r="H90" s="221"/>
      <c r="I90" s="220">
        <v>68</v>
      </c>
      <c r="J90" s="221"/>
      <c r="K90" s="220">
        <v>50</v>
      </c>
      <c r="L90" s="220">
        <f>34+34</f>
        <v>68</v>
      </c>
      <c r="M90" s="220">
        <f t="shared" si="15"/>
        <v>18</v>
      </c>
      <c r="O90" s="189">
        <v>50</v>
      </c>
      <c r="P90" s="190" t="s">
        <v>210</v>
      </c>
    </row>
    <row r="91" spans="1:16" x14ac:dyDescent="0.25">
      <c r="A91" s="193" t="s">
        <v>72</v>
      </c>
      <c r="B91" s="204"/>
      <c r="C91" s="219">
        <v>216.8</v>
      </c>
      <c r="E91" s="219">
        <f>-200+13.01</f>
        <v>-186.99</v>
      </c>
      <c r="G91" s="220">
        <f>159.12</f>
        <v>159.12</v>
      </c>
      <c r="H91" s="221"/>
      <c r="I91" s="220"/>
      <c r="J91" s="221"/>
      <c r="K91" s="220">
        <v>200</v>
      </c>
      <c r="L91" s="220">
        <v>265.33999999999997</v>
      </c>
      <c r="M91" s="220">
        <f t="shared" si="15"/>
        <v>65.339999999999975</v>
      </c>
      <c r="O91" s="189">
        <v>200</v>
      </c>
      <c r="P91" s="190" t="s">
        <v>210</v>
      </c>
    </row>
    <row r="92" spans="1:16" x14ac:dyDescent="0.25">
      <c r="A92" s="193" t="s">
        <v>73</v>
      </c>
      <c r="B92" s="204"/>
      <c r="C92" s="219">
        <v>200</v>
      </c>
      <c r="E92" s="219"/>
      <c r="G92" s="220"/>
      <c r="H92" s="221"/>
      <c r="I92" s="220">
        <v>117.76</v>
      </c>
      <c r="J92" s="221"/>
      <c r="K92" s="220">
        <v>150</v>
      </c>
      <c r="L92" s="220">
        <v>85.34</v>
      </c>
      <c r="M92" s="220">
        <f t="shared" si="15"/>
        <v>-64.66</v>
      </c>
      <c r="O92" s="189">
        <v>100</v>
      </c>
      <c r="P92" s="190" t="s">
        <v>211</v>
      </c>
    </row>
    <row r="93" spans="1:16" x14ac:dyDescent="0.25">
      <c r="A93" s="193" t="s">
        <v>35</v>
      </c>
      <c r="B93" s="204"/>
      <c r="C93" s="219">
        <v>0</v>
      </c>
      <c r="E93" s="219">
        <v>1750</v>
      </c>
      <c r="G93" s="220">
        <v>1000</v>
      </c>
      <c r="H93" s="221"/>
      <c r="I93" s="220">
        <v>1000</v>
      </c>
      <c r="J93" s="221"/>
      <c r="K93" s="220">
        <v>1000</v>
      </c>
      <c r="L93" s="220">
        <v>1000</v>
      </c>
      <c r="M93" s="220">
        <f t="shared" si="15"/>
        <v>0</v>
      </c>
      <c r="O93" s="189">
        <v>1000</v>
      </c>
      <c r="P93" s="190" t="s">
        <v>187</v>
      </c>
    </row>
    <row r="94" spans="1:16" hidden="1" x14ac:dyDescent="0.25">
      <c r="A94" s="234" t="s">
        <v>31</v>
      </c>
      <c r="B94" s="204"/>
      <c r="C94" s="219"/>
      <c r="E94" s="219">
        <v>200</v>
      </c>
      <c r="G94" s="220"/>
      <c r="H94" s="221"/>
      <c r="I94" s="220"/>
      <c r="J94" s="221"/>
      <c r="K94" s="220"/>
      <c r="L94" s="220"/>
      <c r="M94" s="220">
        <f t="shared" si="15"/>
        <v>0</v>
      </c>
      <c r="P94" s="190" t="s">
        <v>193</v>
      </c>
    </row>
    <row r="95" spans="1:16" x14ac:dyDescent="0.25">
      <c r="A95" s="193" t="s">
        <v>212</v>
      </c>
      <c r="B95" s="204"/>
      <c r="C95" s="219"/>
      <c r="E95" s="219"/>
      <c r="G95" s="220">
        <v>500</v>
      </c>
      <c r="H95" s="221"/>
      <c r="I95" s="220"/>
      <c r="J95" s="221"/>
      <c r="K95" s="220">
        <v>500</v>
      </c>
      <c r="L95" s="220">
        <v>500</v>
      </c>
      <c r="M95" s="220">
        <f t="shared" si="15"/>
        <v>0</v>
      </c>
      <c r="O95" s="189">
        <v>500</v>
      </c>
    </row>
    <row r="96" spans="1:16" x14ac:dyDescent="0.25">
      <c r="A96" s="234" t="s">
        <v>18</v>
      </c>
      <c r="B96" s="204"/>
      <c r="C96" s="246">
        <v>1229.58</v>
      </c>
      <c r="E96" s="246"/>
      <c r="G96" s="247">
        <v>17</v>
      </c>
      <c r="H96" s="207"/>
      <c r="I96" s="247">
        <v>214.8</v>
      </c>
      <c r="J96" s="207"/>
      <c r="K96" s="247">
        <v>100</v>
      </c>
      <c r="L96" s="247">
        <v>71.92</v>
      </c>
      <c r="M96" s="223">
        <f t="shared" si="15"/>
        <v>-28.08</v>
      </c>
      <c r="O96" s="189">
        <v>100</v>
      </c>
      <c r="P96" s="190" t="s">
        <v>210</v>
      </c>
    </row>
    <row r="97" spans="1:16" x14ac:dyDescent="0.25">
      <c r="A97" s="213" t="s">
        <v>213</v>
      </c>
      <c r="B97" s="214"/>
      <c r="C97" s="248">
        <f>SUM(C87:C96)</f>
        <v>2431.38</v>
      </c>
      <c r="E97" s="249">
        <f>SUM(E87:E96)</f>
        <v>2568.0100000000002</v>
      </c>
      <c r="G97" s="250">
        <f>SUM(G87:G96)</f>
        <v>2508.1799999999998</v>
      </c>
      <c r="H97" s="230"/>
      <c r="I97" s="250">
        <f>SUM(I87:I96)</f>
        <v>2235.56</v>
      </c>
      <c r="J97" s="230"/>
      <c r="K97" s="250">
        <f>SUM(K87:K96)</f>
        <v>2875</v>
      </c>
      <c r="L97" s="250">
        <f>SUM(L87:L96)</f>
        <v>2825.6</v>
      </c>
      <c r="M97" s="250">
        <f>L97-K97</f>
        <v>-49.400000000000091</v>
      </c>
      <c r="O97" s="241">
        <f>SUM(O87:O96)</f>
        <v>3355</v>
      </c>
    </row>
    <row r="98" spans="1:16" x14ac:dyDescent="0.25">
      <c r="A98" s="193"/>
      <c r="B98" s="204"/>
      <c r="C98" s="219"/>
      <c r="E98" s="219"/>
      <c r="G98" s="220"/>
      <c r="H98" s="221"/>
      <c r="I98" s="220"/>
      <c r="J98" s="221"/>
      <c r="K98" s="220"/>
      <c r="L98" s="220"/>
      <c r="M98" s="220"/>
    </row>
    <row r="99" spans="1:16" x14ac:dyDescent="0.25">
      <c r="A99" s="213" t="s">
        <v>15</v>
      </c>
      <c r="B99" s="214"/>
      <c r="C99" s="232">
        <f>+C97+C84</f>
        <v>15989.79</v>
      </c>
      <c r="E99" s="232">
        <f>+E97+E84</f>
        <v>20009.989999999998</v>
      </c>
      <c r="G99" s="233">
        <f>+G97+G84</f>
        <v>17119.11</v>
      </c>
      <c r="H99" s="230"/>
      <c r="I99" s="233">
        <f>+I97+I84</f>
        <v>15624.85</v>
      </c>
      <c r="J99" s="230"/>
      <c r="K99" s="233">
        <f>+K97+K84</f>
        <v>19425</v>
      </c>
      <c r="L99" s="233">
        <f>+L97+L84</f>
        <v>16317.390000000001</v>
      </c>
      <c r="M99" s="233">
        <f>L99-K99</f>
        <v>-3107.6099999999988</v>
      </c>
      <c r="O99" s="251">
        <f>SUM(O84,O97)</f>
        <v>17340</v>
      </c>
    </row>
    <row r="100" spans="1:16" x14ac:dyDescent="0.25">
      <c r="A100" s="213"/>
      <c r="B100" s="214"/>
      <c r="C100" s="245"/>
      <c r="E100" s="245"/>
      <c r="G100" s="230"/>
      <c r="H100" s="230"/>
      <c r="I100" s="230"/>
      <c r="J100" s="230"/>
      <c r="K100" s="230"/>
      <c r="L100" s="230"/>
      <c r="M100" s="230"/>
    </row>
    <row r="101" spans="1:16" ht="18.75" thickBot="1" x14ac:dyDescent="0.3">
      <c r="A101" s="213" t="s">
        <v>214</v>
      </c>
      <c r="B101" s="214"/>
      <c r="C101" s="252">
        <f>C52-C99</f>
        <v>41845.040000000001</v>
      </c>
      <c r="E101" s="252">
        <f>E52-E99</f>
        <v>22596.049999999996</v>
      </c>
      <c r="G101" s="253">
        <f>G52-G99</f>
        <v>39819.380000000005</v>
      </c>
      <c r="H101" s="254"/>
      <c r="I101" s="253">
        <f>I52-I99</f>
        <v>23876.139999999992</v>
      </c>
      <c r="J101" s="254"/>
      <c r="K101" s="253">
        <f>K52-K99</f>
        <v>17620</v>
      </c>
      <c r="L101" s="253">
        <f>L52-L99</f>
        <v>25919.15</v>
      </c>
      <c r="M101" s="253">
        <f>L101-K101</f>
        <v>8299.1500000000015</v>
      </c>
      <c r="O101" s="255">
        <f>O52-O99</f>
        <v>25260.5</v>
      </c>
    </row>
    <row r="102" spans="1:16" x14ac:dyDescent="0.25">
      <c r="A102" s="213"/>
      <c r="B102" s="214"/>
      <c r="C102" s="245"/>
      <c r="E102" s="245"/>
      <c r="G102" s="230"/>
      <c r="H102" s="230"/>
      <c r="I102" s="230"/>
      <c r="J102" s="230"/>
      <c r="K102" s="230"/>
      <c r="L102" s="230"/>
      <c r="M102" s="230"/>
    </row>
    <row r="103" spans="1:16" x14ac:dyDescent="0.25">
      <c r="A103" s="256" t="s">
        <v>94</v>
      </c>
      <c r="B103" s="214"/>
      <c r="C103" s="257">
        <v>29704</v>
      </c>
      <c r="E103" s="257">
        <v>728.31</v>
      </c>
      <c r="G103" s="221">
        <v>43540.02</v>
      </c>
      <c r="H103" s="221"/>
      <c r="I103" s="221">
        <v>9062.93</v>
      </c>
      <c r="J103" s="221"/>
      <c r="K103" s="221"/>
      <c r="L103" s="221">
        <v>900</v>
      </c>
      <c r="M103" s="221">
        <f>L103-K103</f>
        <v>900</v>
      </c>
      <c r="O103" s="189">
        <v>15000</v>
      </c>
      <c r="P103" s="190" t="s">
        <v>215</v>
      </c>
    </row>
    <row r="104" spans="1:16" x14ac:dyDescent="0.25">
      <c r="A104" s="256" t="s">
        <v>216</v>
      </c>
      <c r="B104" s="214"/>
      <c r="C104" s="257"/>
      <c r="E104" s="257"/>
      <c r="G104" s="221"/>
      <c r="H104" s="221"/>
      <c r="I104" s="221"/>
      <c r="J104" s="221"/>
      <c r="K104" s="221">
        <v>5000</v>
      </c>
      <c r="L104" s="221"/>
      <c r="M104" s="221">
        <f t="shared" ref="M104:M105" si="16">L104-K104</f>
        <v>-5000</v>
      </c>
      <c r="O104" s="189">
        <v>5000</v>
      </c>
      <c r="P104" s="190" t="s">
        <v>217</v>
      </c>
    </row>
    <row r="105" spans="1:16" x14ac:dyDescent="0.25">
      <c r="A105" s="256" t="s">
        <v>88</v>
      </c>
      <c r="B105" s="214"/>
      <c r="C105" s="257"/>
      <c r="E105" s="257">
        <v>14025</v>
      </c>
      <c r="G105" s="221">
        <v>9515</v>
      </c>
      <c r="H105" s="221"/>
      <c r="I105" s="221"/>
      <c r="J105" s="221"/>
      <c r="K105" s="221">
        <v>11725</v>
      </c>
      <c r="L105" s="221">
        <v>16397.14</v>
      </c>
      <c r="M105" s="221">
        <f t="shared" si="16"/>
        <v>4672.1399999999994</v>
      </c>
      <c r="P105" s="190" t="s">
        <v>218</v>
      </c>
    </row>
    <row r="106" spans="1:16" x14ac:dyDescent="0.25">
      <c r="B106" s="204"/>
      <c r="C106" s="257"/>
      <c r="E106" s="257"/>
      <c r="G106" s="221"/>
      <c r="H106" s="221"/>
      <c r="I106" s="221"/>
      <c r="J106" s="221"/>
      <c r="K106" s="221"/>
      <c r="L106" s="221"/>
      <c r="M106" s="221"/>
    </row>
    <row r="107" spans="1:16" x14ac:dyDescent="0.25">
      <c r="A107" s="136" t="s">
        <v>97</v>
      </c>
      <c r="B107" s="204"/>
      <c r="C107" s="257"/>
      <c r="E107" s="257"/>
      <c r="G107" s="221"/>
      <c r="H107" s="221"/>
      <c r="I107" s="221"/>
      <c r="J107" s="221"/>
      <c r="K107" s="221"/>
      <c r="L107" s="221">
        <v>-1661.5</v>
      </c>
      <c r="M107" s="221">
        <f t="shared" ref="M107:M108" si="17">L107-K107</f>
        <v>-1661.5</v>
      </c>
      <c r="P107" s="190" t="s">
        <v>219</v>
      </c>
    </row>
    <row r="108" spans="1:16" x14ac:dyDescent="0.25">
      <c r="A108" s="136" t="s">
        <v>96</v>
      </c>
      <c r="B108" s="204"/>
      <c r="C108" s="257"/>
      <c r="E108" s="257"/>
      <c r="G108" s="221"/>
      <c r="H108" s="221"/>
      <c r="I108" s="221"/>
      <c r="J108" s="221"/>
      <c r="K108" s="221"/>
      <c r="L108" s="221"/>
      <c r="M108" s="221">
        <f t="shared" si="17"/>
        <v>0</v>
      </c>
      <c r="O108" s="258">
        <v>1661.5</v>
      </c>
    </row>
    <row r="109" spans="1:16" x14ac:dyDescent="0.25">
      <c r="B109" s="204"/>
      <c r="C109" s="219"/>
      <c r="E109" s="219"/>
      <c r="G109" s="220"/>
      <c r="H109" s="221"/>
      <c r="I109" s="220"/>
      <c r="J109" s="221"/>
      <c r="K109" s="220"/>
      <c r="L109" s="220"/>
      <c r="N109"/>
    </row>
    <row r="110" spans="1:16" ht="18.75" thickBot="1" x14ac:dyDescent="0.3">
      <c r="A110" s="110" t="s">
        <v>220</v>
      </c>
      <c r="B110" s="214"/>
      <c r="C110" s="259">
        <f>C101-C103</f>
        <v>12141.04</v>
      </c>
      <c r="E110" s="259">
        <f>E101-SUM(E103:E105)</f>
        <v>7842.7399999999961</v>
      </c>
      <c r="G110" s="260">
        <f>G101-SUM(G103:G105)</f>
        <v>-13235.639999999992</v>
      </c>
      <c r="H110" s="217"/>
      <c r="I110" s="260">
        <f>I101-SUM(I103:I105)+SUM(I107:I108)</f>
        <v>14813.209999999992</v>
      </c>
      <c r="J110" s="217"/>
      <c r="K110" s="260">
        <f>K101-SUM(K103:K105)+SUM(K107:K108)</f>
        <v>895</v>
      </c>
      <c r="L110" s="260">
        <f>L101-SUM(L103:L105)+SUM(L107:L108)</f>
        <v>6960.510000000002</v>
      </c>
      <c r="M110" s="260">
        <f>L110-K110</f>
        <v>6065.510000000002</v>
      </c>
      <c r="O110" s="255">
        <f>O101-SUM(O103:O105)+SUM(O107:O108)</f>
        <v>6922</v>
      </c>
    </row>
    <row r="111" spans="1:16" ht="12.95" customHeight="1" thickTop="1" x14ac:dyDescent="0.25">
      <c r="B111" s="204"/>
      <c r="C111" s="219"/>
      <c r="E111" s="219"/>
      <c r="G111" s="220"/>
      <c r="H111" s="221"/>
      <c r="I111" s="220"/>
      <c r="J111" s="221"/>
      <c r="K111" s="220"/>
      <c r="L111" s="220"/>
    </row>
    <row r="112" spans="1:16" hidden="1" x14ac:dyDescent="0.25">
      <c r="A112" s="136" t="s">
        <v>32</v>
      </c>
      <c r="B112" s="204"/>
      <c r="C112" s="219"/>
      <c r="E112" s="219"/>
      <c r="G112" s="220"/>
      <c r="H112" s="221"/>
      <c r="I112" s="220"/>
      <c r="J112" s="221"/>
      <c r="K112" s="220"/>
      <c r="L112" s="220"/>
    </row>
    <row r="113" spans="1:16" hidden="1" x14ac:dyDescent="0.25">
      <c r="A113" s="193" t="s">
        <v>4</v>
      </c>
      <c r="B113" s="204"/>
      <c r="C113" s="219"/>
      <c r="E113" s="219"/>
      <c r="G113" s="220"/>
      <c r="H113" s="221"/>
      <c r="I113" s="220"/>
      <c r="J113" s="221"/>
      <c r="K113" s="220"/>
      <c r="L113" s="220"/>
    </row>
    <row r="114" spans="1:16" hidden="1" x14ac:dyDescent="0.25">
      <c r="B114" s="204"/>
      <c r="C114" s="219"/>
      <c r="E114" s="219"/>
      <c r="G114" s="220"/>
      <c r="H114" s="221"/>
      <c r="I114" s="220"/>
      <c r="J114" s="221"/>
      <c r="K114" s="220"/>
      <c r="L114" s="220"/>
    </row>
    <row r="115" spans="1:16" ht="25.5" hidden="1" customHeight="1" x14ac:dyDescent="0.25">
      <c r="A115" s="136" t="s">
        <v>221</v>
      </c>
      <c r="B115" s="204"/>
      <c r="C115" s="219"/>
      <c r="E115" s="219"/>
      <c r="G115" s="220"/>
      <c r="H115" s="221"/>
      <c r="I115" s="220"/>
      <c r="J115" s="221"/>
      <c r="K115" s="220"/>
      <c r="L115" s="220"/>
    </row>
    <row r="116" spans="1:16" ht="25.5" hidden="1" customHeight="1" x14ac:dyDescent="0.25">
      <c r="A116" s="136" t="s">
        <v>6</v>
      </c>
      <c r="B116" s="204"/>
      <c r="C116" s="219"/>
      <c r="E116" s="219"/>
      <c r="G116" s="220"/>
      <c r="H116" s="221"/>
      <c r="I116" s="220"/>
      <c r="J116" s="221"/>
      <c r="K116" s="220"/>
      <c r="L116" s="220"/>
    </row>
    <row r="117" spans="1:16" s="263" customFormat="1" x14ac:dyDescent="0.25">
      <c r="A117" s="261" t="s">
        <v>95</v>
      </c>
      <c r="B117" s="204"/>
      <c r="C117" s="262"/>
      <c r="E117" s="262"/>
      <c r="G117" s="264"/>
      <c r="H117" s="265"/>
      <c r="I117" s="264"/>
      <c r="J117" s="265"/>
      <c r="K117" s="264"/>
      <c r="L117" s="264"/>
      <c r="O117" s="266"/>
      <c r="P117" s="267"/>
    </row>
    <row r="118" spans="1:16" x14ac:dyDescent="0.25">
      <c r="A118" s="136" t="s">
        <v>222</v>
      </c>
      <c r="B118" s="204"/>
      <c r="C118" s="219"/>
      <c r="E118" s="219"/>
      <c r="G118" s="220"/>
      <c r="H118" s="221"/>
      <c r="I118" s="220"/>
      <c r="J118" s="221"/>
      <c r="K118" s="220"/>
      <c r="L118" s="220"/>
      <c r="M118" s="221"/>
    </row>
    <row r="119" spans="1:16" x14ac:dyDescent="0.25">
      <c r="A119" s="136" t="s">
        <v>71</v>
      </c>
      <c r="B119" s="204"/>
      <c r="C119" s="219"/>
      <c r="E119" s="219">
        <v>-64</v>
      </c>
      <c r="G119" s="220"/>
      <c r="H119" s="221"/>
      <c r="I119" s="220">
        <v>689.8</v>
      </c>
      <c r="J119" s="221"/>
      <c r="K119" s="220"/>
      <c r="L119" s="220"/>
      <c r="M119" s="221">
        <f>L119-K119</f>
        <v>0</v>
      </c>
      <c r="O119" s="189">
        <v>-602.29999999999995</v>
      </c>
      <c r="P119" s="190" t="s">
        <v>223</v>
      </c>
    </row>
    <row r="120" spans="1:16" x14ac:dyDescent="0.25">
      <c r="A120" s="136" t="s">
        <v>108</v>
      </c>
      <c r="B120" s="204"/>
      <c r="C120" s="219"/>
      <c r="E120" s="219"/>
      <c r="G120" s="220"/>
      <c r="H120" s="221"/>
      <c r="I120" s="220"/>
      <c r="J120" s="221"/>
      <c r="K120" s="220"/>
      <c r="L120" s="220"/>
      <c r="M120" s="221"/>
      <c r="O120" s="189">
        <f>-(144+144)</f>
        <v>-288</v>
      </c>
      <c r="P120" s="190" t="s">
        <v>223</v>
      </c>
    </row>
    <row r="121" spans="1:16" hidden="1" x14ac:dyDescent="0.25">
      <c r="A121" s="136" t="s">
        <v>224</v>
      </c>
      <c r="B121" s="204"/>
      <c r="C121" s="219">
        <v>127.14</v>
      </c>
      <c r="E121" s="219"/>
      <c r="G121" s="220"/>
      <c r="H121" s="221"/>
      <c r="I121" s="220"/>
      <c r="J121" s="221"/>
      <c r="K121" s="220"/>
      <c r="L121" s="220"/>
    </row>
    <row r="122" spans="1:16" hidden="1" x14ac:dyDescent="0.25">
      <c r="A122" s="136" t="s">
        <v>225</v>
      </c>
      <c r="B122" s="204"/>
      <c r="C122" s="219">
        <v>16292</v>
      </c>
      <c r="E122" s="219"/>
      <c r="G122" s="220"/>
      <c r="H122" s="221"/>
      <c r="I122" s="220"/>
      <c r="J122" s="221"/>
      <c r="K122" s="220"/>
      <c r="L122" s="220"/>
    </row>
    <row r="123" spans="1:16" hidden="1" x14ac:dyDescent="0.25">
      <c r="A123" s="136" t="s">
        <v>226</v>
      </c>
      <c r="B123" s="204"/>
      <c r="C123" s="219"/>
      <c r="E123" s="219"/>
      <c r="G123" s="220"/>
      <c r="H123" s="221"/>
      <c r="I123" s="220">
        <v>590.33000000000004</v>
      </c>
      <c r="J123" s="221"/>
      <c r="K123" s="220"/>
      <c r="L123" s="220"/>
      <c r="M123" s="221">
        <f t="shared" ref="M123:M124" si="18">L123-K123</f>
        <v>0</v>
      </c>
    </row>
    <row r="124" spans="1:16" hidden="1" x14ac:dyDescent="0.25">
      <c r="A124" s="268" t="s">
        <v>227</v>
      </c>
      <c r="B124" s="204"/>
      <c r="C124" s="219"/>
      <c r="E124" s="219">
        <v>4981.21</v>
      </c>
      <c r="G124" s="220">
        <v>1750.26</v>
      </c>
      <c r="H124" s="221"/>
      <c r="I124" s="220">
        <v>1829.51</v>
      </c>
      <c r="J124" s="221"/>
      <c r="K124" s="220"/>
      <c r="L124" s="220"/>
      <c r="M124" s="221">
        <f t="shared" si="18"/>
        <v>0</v>
      </c>
    </row>
    <row r="125" spans="1:16" hidden="1" x14ac:dyDescent="0.25">
      <c r="A125" s="136" t="s">
        <v>228</v>
      </c>
      <c r="B125" s="204"/>
      <c r="C125" s="219">
        <v>489.99</v>
      </c>
      <c r="E125" s="219"/>
      <c r="G125" s="220"/>
      <c r="H125" s="221"/>
      <c r="I125" s="220"/>
      <c r="J125" s="221"/>
      <c r="K125" s="220"/>
      <c r="L125" s="220"/>
    </row>
    <row r="126" spans="1:16" ht="18.75" thickBot="1" x14ac:dyDescent="0.3">
      <c r="B126" s="204"/>
      <c r="C126" s="269">
        <f>SUM(C118:C125)</f>
        <v>16909.13</v>
      </c>
      <c r="E126" s="269">
        <f>SUM(E118:E125)</f>
        <v>4917.21</v>
      </c>
      <c r="G126" s="269">
        <f>SUM(G118:G125)</f>
        <v>1750.26</v>
      </c>
      <c r="H126" s="221"/>
      <c r="I126" s="269">
        <f>SUM(I118:I125)</f>
        <v>3109.6400000000003</v>
      </c>
      <c r="J126" s="221"/>
      <c r="K126" s="269">
        <f>SUM(K118:K125)</f>
        <v>0</v>
      </c>
      <c r="L126" s="269">
        <f>SUM(L118:L125)</f>
        <v>0</v>
      </c>
      <c r="M126" s="270">
        <f>L126-K126</f>
        <v>0</v>
      </c>
      <c r="O126" s="271">
        <f>SUM(O119:O125)</f>
        <v>-890.3</v>
      </c>
    </row>
    <row r="127" spans="1:16" ht="18.75" thickBot="1" x14ac:dyDescent="0.3">
      <c r="A127" s="136" t="s">
        <v>80</v>
      </c>
      <c r="B127" s="204"/>
      <c r="C127" s="272">
        <f>C110-C126</f>
        <v>-4768.09</v>
      </c>
      <c r="E127" s="272">
        <f>E110-E126</f>
        <v>2925.5299999999961</v>
      </c>
      <c r="G127" s="273">
        <f>G110-G126</f>
        <v>-14985.899999999992</v>
      </c>
      <c r="H127" s="221"/>
      <c r="I127" s="273">
        <f>I110-I126</f>
        <v>11703.569999999992</v>
      </c>
      <c r="J127" s="221"/>
      <c r="K127" s="273">
        <f>K110-K126+SUM(K107:K108)</f>
        <v>895</v>
      </c>
      <c r="L127" s="273">
        <f>L110-L126+SUM(L107:L108)</f>
        <v>5299.010000000002</v>
      </c>
      <c r="M127" s="273">
        <f>L127-K127</f>
        <v>4404.010000000002</v>
      </c>
      <c r="N127"/>
      <c r="O127" s="274">
        <f>O110+O126</f>
        <v>6031.7</v>
      </c>
    </row>
    <row r="128" spans="1:16" ht="18.75" thickTop="1" x14ac:dyDescent="0.25">
      <c r="A128"/>
      <c r="B128" s="204"/>
      <c r="C128" s="219"/>
      <c r="E128" s="219"/>
      <c r="G128" s="219"/>
      <c r="H128" s="257"/>
      <c r="I128" s="219"/>
      <c r="J128" s="257"/>
      <c r="K128" s="219"/>
      <c r="L128" s="219"/>
      <c r="N128"/>
    </row>
  </sheetData>
  <pageMargins left="0.25" right="0.25" top="0.25" bottom="0.6" header="0.5" footer="0.1"/>
  <pageSetup scale="55" fitToHeight="2" orientation="landscape" horizontalDpi="4294967292" verticalDpi="4294967292" r:id="rId1"/>
  <headerFooter alignWithMargins="0">
    <oddFooter>&amp;L&amp;D&amp;Z&amp;F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9"/>
  <sheetViews>
    <sheetView zoomScaleNormal="100" workbookViewId="0">
      <pane ySplit="4" topLeftCell="A14" activePane="bottomLeft" state="frozen"/>
      <selection pane="bottomLeft" activeCell="U1" sqref="U1"/>
    </sheetView>
  </sheetViews>
  <sheetFormatPr defaultColWidth="7.625" defaultRowHeight="18" x14ac:dyDescent="0.25"/>
  <cols>
    <col min="1" max="1" width="44.625" style="8" bestFit="1" customWidth="1"/>
    <col min="2" max="2" width="11.75" style="8" hidden="1" customWidth="1"/>
    <col min="3" max="3" width="0.875" style="6" hidden="1" customWidth="1"/>
    <col min="4" max="4" width="15.625" style="14" hidden="1" customWidth="1"/>
    <col min="5" max="5" width="12.375" style="38" hidden="1" customWidth="1"/>
    <col min="6" max="6" width="1" style="8" hidden="1" customWidth="1"/>
    <col min="7" max="7" width="15.625" style="14" hidden="1" customWidth="1"/>
    <col min="8" max="8" width="12.375" style="38" hidden="1" customWidth="1"/>
    <col min="9" max="9" width="1.625" style="8" hidden="1" customWidth="1"/>
    <col min="10" max="10" width="15.625" style="14" hidden="1" customWidth="1"/>
    <col min="11" max="11" width="15.375" style="38" hidden="1" customWidth="1"/>
    <col min="12" max="12" width="1.375" style="95" hidden="1" customWidth="1"/>
    <col min="13" max="13" width="13.125" style="38" hidden="1" customWidth="1"/>
    <col min="14" max="14" width="15.625" style="38" customWidth="1"/>
    <col min="15" max="15" width="1" style="95" customWidth="1"/>
    <col min="16" max="17" width="15.625" style="38" customWidth="1"/>
    <col min="18" max="18" width="1" style="95" customWidth="1"/>
    <col min="19" max="19" width="15.625" style="136" customWidth="1"/>
    <col min="20" max="20" width="1" style="8" customWidth="1"/>
    <col min="21" max="21" width="23.25" style="8" customWidth="1"/>
    <col min="22" max="16384" width="7.625" style="8"/>
  </cols>
  <sheetData>
    <row r="1" spans="1:21" x14ac:dyDescent="0.25">
      <c r="A1" s="29" t="s">
        <v>52</v>
      </c>
      <c r="S1" s="119"/>
    </row>
    <row r="2" spans="1:21" x14ac:dyDescent="0.25">
      <c r="A2" s="110" t="s">
        <v>118</v>
      </c>
      <c r="D2" s="51"/>
      <c r="G2" s="51"/>
      <c r="J2" s="51"/>
      <c r="Q2" s="109" t="s">
        <v>106</v>
      </c>
      <c r="S2" s="119"/>
    </row>
    <row r="3" spans="1:21" ht="18.75" thickBot="1" x14ac:dyDescent="0.3">
      <c r="A3" s="32"/>
      <c r="B3" s="5" t="s">
        <v>24</v>
      </c>
      <c r="C3" s="44"/>
      <c r="D3" s="7" t="s">
        <v>61</v>
      </c>
      <c r="E3" s="45" t="s">
        <v>38</v>
      </c>
      <c r="G3" s="7" t="s">
        <v>61</v>
      </c>
      <c r="H3" s="45" t="s">
        <v>38</v>
      </c>
      <c r="J3" s="7" t="s">
        <v>61</v>
      </c>
      <c r="K3" s="45" t="s">
        <v>10</v>
      </c>
      <c r="L3" s="96"/>
      <c r="M3" s="45" t="s">
        <v>61</v>
      </c>
      <c r="N3" s="45" t="s">
        <v>10</v>
      </c>
      <c r="O3" s="96"/>
      <c r="P3" s="141" t="s">
        <v>10</v>
      </c>
      <c r="Q3" s="45" t="s">
        <v>61</v>
      </c>
      <c r="R3" s="96"/>
      <c r="S3" s="120" t="s">
        <v>65</v>
      </c>
      <c r="U3" s="120" t="s">
        <v>107</v>
      </c>
    </row>
    <row r="4" spans="1:21" s="12" customFormat="1" ht="19.5" thickTop="1" thickBot="1" x14ac:dyDescent="0.3">
      <c r="A4" s="39"/>
      <c r="B4" s="9" t="s">
        <v>51</v>
      </c>
      <c r="C4" s="44"/>
      <c r="D4" s="10" t="s">
        <v>11</v>
      </c>
      <c r="E4" s="11">
        <v>39993</v>
      </c>
      <c r="F4"/>
      <c r="G4" s="10" t="s">
        <v>17</v>
      </c>
      <c r="H4" s="11">
        <v>40358</v>
      </c>
      <c r="J4" s="10" t="s">
        <v>29</v>
      </c>
      <c r="K4" s="11">
        <v>40723</v>
      </c>
      <c r="L4" s="97"/>
      <c r="M4" s="11" t="s">
        <v>66</v>
      </c>
      <c r="N4" s="11">
        <v>41454</v>
      </c>
      <c r="O4" s="97"/>
      <c r="P4" s="142">
        <v>41531</v>
      </c>
      <c r="Q4" s="11" t="s">
        <v>101</v>
      </c>
      <c r="R4" s="97"/>
      <c r="S4" s="121"/>
    </row>
    <row r="5" spans="1:21" ht="18.75" thickTop="1" x14ac:dyDescent="0.25">
      <c r="A5" s="40" t="s">
        <v>19</v>
      </c>
      <c r="B5" s="32"/>
      <c r="E5" s="15"/>
      <c r="F5"/>
      <c r="H5" s="15"/>
      <c r="K5" s="15"/>
      <c r="L5" s="98"/>
      <c r="M5" s="15"/>
      <c r="N5" s="15"/>
      <c r="O5" s="98"/>
      <c r="P5" s="143"/>
      <c r="Q5" s="15"/>
      <c r="R5" s="98"/>
      <c r="S5" s="122"/>
    </row>
    <row r="6" spans="1:21" x14ac:dyDescent="0.25">
      <c r="A6" s="32" t="s">
        <v>49</v>
      </c>
      <c r="B6" s="16">
        <v>21975</v>
      </c>
      <c r="C6" s="17"/>
      <c r="D6" s="18">
        <v>30000</v>
      </c>
      <c r="E6" s="19"/>
      <c r="F6"/>
      <c r="G6" s="18">
        <v>20500</v>
      </c>
      <c r="H6" s="19"/>
      <c r="J6" s="18"/>
      <c r="K6" s="73"/>
      <c r="L6" s="99"/>
      <c r="M6" s="73"/>
      <c r="N6" s="73"/>
      <c r="O6" s="99"/>
      <c r="P6" s="144"/>
      <c r="Q6" s="73"/>
      <c r="R6" s="99"/>
      <c r="S6" s="123">
        <f>P6-Q6</f>
        <v>0</v>
      </c>
    </row>
    <row r="7" spans="1:21" x14ac:dyDescent="0.25">
      <c r="A7" s="32" t="s">
        <v>48</v>
      </c>
      <c r="B7" s="16"/>
      <c r="C7" s="17"/>
      <c r="D7" s="18"/>
      <c r="E7" s="19">
        <v>8426.35</v>
      </c>
      <c r="F7"/>
      <c r="G7" s="18"/>
      <c r="H7" s="19">
        <v>11803</v>
      </c>
      <c r="J7" s="18">
        <v>15000</v>
      </c>
      <c r="K7" s="73">
        <v>14226</v>
      </c>
      <c r="L7" s="99"/>
      <c r="M7" s="73">
        <v>10000</v>
      </c>
      <c r="N7" s="73">
        <v>8795</v>
      </c>
      <c r="O7" s="99"/>
      <c r="P7" s="144"/>
      <c r="Q7" s="73">
        <v>8500</v>
      </c>
      <c r="R7" s="99"/>
      <c r="S7" s="123">
        <f>P7-Q7</f>
        <v>-8500</v>
      </c>
    </row>
    <row r="8" spans="1:21" x14ac:dyDescent="0.25">
      <c r="A8" s="32" t="s">
        <v>85</v>
      </c>
      <c r="B8" s="16"/>
      <c r="C8" s="17"/>
      <c r="D8" s="18"/>
      <c r="E8" s="19"/>
      <c r="F8"/>
      <c r="G8" s="18"/>
      <c r="H8" s="19"/>
      <c r="J8" s="18"/>
      <c r="K8" s="73"/>
      <c r="L8" s="99"/>
      <c r="M8" s="73"/>
      <c r="N8" s="73">
        <v>841</v>
      </c>
      <c r="O8" s="99"/>
      <c r="P8" s="144"/>
      <c r="Q8" s="73">
        <v>900</v>
      </c>
      <c r="R8" s="99"/>
      <c r="S8" s="123">
        <f>P8-Q8</f>
        <v>-900</v>
      </c>
    </row>
    <row r="9" spans="1:21" x14ac:dyDescent="0.25">
      <c r="A9" s="32" t="s">
        <v>86</v>
      </c>
      <c r="B9" s="16"/>
      <c r="C9" s="17"/>
      <c r="D9" s="18"/>
      <c r="E9" s="19">
        <f>5243.93-147.02</f>
        <v>5096.91</v>
      </c>
      <c r="F9"/>
      <c r="G9" s="18"/>
      <c r="H9" s="19">
        <f>7335-203.97</f>
        <v>7131.03</v>
      </c>
      <c r="J9" s="18">
        <v>6500</v>
      </c>
      <c r="K9" s="73">
        <f>4710-130.89</f>
        <v>4579.1099999999997</v>
      </c>
      <c r="L9" s="99"/>
      <c r="M9" s="73">
        <v>5000</v>
      </c>
      <c r="N9" s="73">
        <v>6370</v>
      </c>
      <c r="O9" s="99"/>
      <c r="P9" s="144"/>
      <c r="Q9" s="73">
        <v>6500</v>
      </c>
      <c r="R9" s="99"/>
      <c r="S9" s="123">
        <f>P9-Q9</f>
        <v>-6500</v>
      </c>
    </row>
    <row r="10" spans="1:21" x14ac:dyDescent="0.25">
      <c r="A10" s="32" t="s">
        <v>87</v>
      </c>
      <c r="B10" s="16"/>
      <c r="C10" s="17"/>
      <c r="D10" s="18"/>
      <c r="E10" s="19"/>
      <c r="F10"/>
      <c r="G10" s="18"/>
      <c r="H10" s="19"/>
      <c r="J10" s="18"/>
      <c r="K10" s="73"/>
      <c r="L10" s="99"/>
      <c r="M10" s="73"/>
      <c r="N10" s="73">
        <f>-25.23+-173.24</f>
        <v>-198.47</v>
      </c>
      <c r="O10" s="99"/>
      <c r="P10" s="144"/>
      <c r="Q10" s="73">
        <v>-27</v>
      </c>
      <c r="R10" s="99"/>
      <c r="S10" s="123">
        <f>P10-Q10</f>
        <v>27</v>
      </c>
    </row>
    <row r="11" spans="1:21" ht="6.95" customHeight="1" x14ac:dyDescent="0.25">
      <c r="A11" s="32"/>
      <c r="B11" s="16"/>
      <c r="C11" s="17"/>
      <c r="D11" s="18"/>
      <c r="E11" s="19"/>
      <c r="F11"/>
      <c r="G11" s="18"/>
      <c r="H11" s="19"/>
      <c r="J11" s="18"/>
      <c r="K11" s="73"/>
      <c r="L11" s="99"/>
      <c r="M11" s="73"/>
      <c r="N11" s="73"/>
      <c r="O11" s="99"/>
      <c r="P11" s="144"/>
      <c r="Q11" s="73"/>
      <c r="R11" s="99"/>
      <c r="S11" s="123"/>
    </row>
    <row r="12" spans="1:21" x14ac:dyDescent="0.25">
      <c r="A12" s="32" t="s">
        <v>91</v>
      </c>
      <c r="B12" s="16"/>
      <c r="C12" s="17"/>
      <c r="D12" s="18"/>
      <c r="E12" s="19"/>
      <c r="F12"/>
      <c r="G12" s="18"/>
      <c r="H12" s="19"/>
      <c r="J12" s="18"/>
      <c r="K12" s="73"/>
      <c r="L12" s="99"/>
      <c r="M12" s="73"/>
      <c r="N12" s="73">
        <v>100</v>
      </c>
      <c r="O12" s="99"/>
      <c r="P12" s="144"/>
      <c r="Q12" s="73"/>
      <c r="R12" s="99"/>
      <c r="S12" s="123">
        <f>P12-Q12</f>
        <v>0</v>
      </c>
    </row>
    <row r="13" spans="1:21" ht="6" customHeight="1" x14ac:dyDescent="0.25">
      <c r="A13" s="32"/>
      <c r="B13" s="16"/>
      <c r="C13" s="17"/>
      <c r="D13" s="18"/>
      <c r="E13" s="19"/>
      <c r="F13"/>
      <c r="G13" s="18"/>
      <c r="H13" s="19"/>
      <c r="J13" s="18"/>
      <c r="K13" s="73"/>
      <c r="L13" s="99"/>
      <c r="M13" s="73"/>
      <c r="N13" s="73"/>
      <c r="O13" s="99"/>
      <c r="P13" s="144"/>
      <c r="Q13" s="73"/>
      <c r="R13" s="99"/>
      <c r="S13" s="123"/>
    </row>
    <row r="14" spans="1:21" x14ac:dyDescent="0.25">
      <c r="A14" s="32" t="s">
        <v>89</v>
      </c>
      <c r="B14" s="16"/>
      <c r="C14" s="17"/>
      <c r="D14" s="18"/>
      <c r="E14" s="19">
        <v>38083.5</v>
      </c>
      <c r="F14"/>
      <c r="G14" s="18"/>
      <c r="H14" s="19">
        <v>64.8</v>
      </c>
      <c r="J14" s="18">
        <v>40000</v>
      </c>
      <c r="K14" s="73">
        <v>16552.25</v>
      </c>
      <c r="L14" s="99"/>
      <c r="M14" s="73"/>
      <c r="N14" s="73">
        <f>887.6+250.03</f>
        <v>1137.6300000000001</v>
      </c>
      <c r="O14" s="99"/>
      <c r="P14" s="144"/>
      <c r="Q14" s="73"/>
      <c r="R14" s="99"/>
      <c r="S14" s="123">
        <f>P14-Q14</f>
        <v>0</v>
      </c>
    </row>
    <row r="15" spans="1:21" x14ac:dyDescent="0.25">
      <c r="A15" s="32" t="s">
        <v>90</v>
      </c>
      <c r="B15" s="16"/>
      <c r="C15" s="17"/>
      <c r="D15" s="18"/>
      <c r="E15" s="19">
        <v>-18467.919999999998</v>
      </c>
      <c r="F15"/>
      <c r="G15" s="18"/>
      <c r="H15" s="19"/>
      <c r="J15" s="18">
        <v>-20000</v>
      </c>
      <c r="K15" s="73">
        <v>-7472.45</v>
      </c>
      <c r="L15" s="99"/>
      <c r="M15" s="73"/>
      <c r="N15" s="73"/>
      <c r="O15" s="99"/>
      <c r="P15" s="144"/>
      <c r="Q15" s="73"/>
      <c r="R15" s="99"/>
      <c r="S15" s="123">
        <f>P15-Q15</f>
        <v>0</v>
      </c>
    </row>
    <row r="16" spans="1:21" ht="18.75" thickBot="1" x14ac:dyDescent="0.3">
      <c r="A16" s="64" t="s">
        <v>92</v>
      </c>
      <c r="B16" s="16"/>
      <c r="C16" s="17"/>
      <c r="D16"/>
      <c r="E16" s="33">
        <f>SUM(E14:E15)</f>
        <v>19615.580000000002</v>
      </c>
      <c r="F16"/>
      <c r="G16"/>
      <c r="H16" s="33">
        <f>SUM(H14:H15)</f>
        <v>64.8</v>
      </c>
      <c r="J16" s="33">
        <f t="shared" ref="J16:P16" si="0">SUM(J14:J15)</f>
        <v>20000</v>
      </c>
      <c r="K16" s="74">
        <f t="shared" si="0"/>
        <v>9079.7999999999993</v>
      </c>
      <c r="L16" s="75"/>
      <c r="M16" s="74">
        <f t="shared" si="0"/>
        <v>0</v>
      </c>
      <c r="N16" s="74">
        <f t="shared" ref="N16" si="1">SUM(N14:N15)</f>
        <v>1137.6300000000001</v>
      </c>
      <c r="O16" s="75"/>
      <c r="P16" s="145">
        <f t="shared" si="0"/>
        <v>0</v>
      </c>
      <c r="Q16" s="74">
        <f>SUM(Q14:Q15)</f>
        <v>0</v>
      </c>
      <c r="R16" s="75"/>
      <c r="S16" s="124">
        <f>P16-Q16</f>
        <v>0</v>
      </c>
    </row>
    <row r="17" spans="1:19" x14ac:dyDescent="0.25">
      <c r="A17" s="32"/>
      <c r="B17" s="16"/>
      <c r="C17" s="17"/>
      <c r="D17"/>
      <c r="E17" s="52"/>
      <c r="F17"/>
      <c r="G17"/>
      <c r="H17" s="52"/>
      <c r="J17"/>
      <c r="K17" s="75"/>
      <c r="L17" s="75"/>
      <c r="M17" s="75"/>
      <c r="N17" s="75"/>
      <c r="O17" s="75"/>
      <c r="P17" s="146"/>
      <c r="Q17" s="75"/>
      <c r="R17" s="75"/>
      <c r="S17" s="125"/>
    </row>
    <row r="18" spans="1:19" x14ac:dyDescent="0.25">
      <c r="A18" s="4" t="s">
        <v>93</v>
      </c>
      <c r="B18" s="3"/>
      <c r="C18" s="43"/>
      <c r="D18" s="43">
        <f>SUM(D6)</f>
        <v>30000</v>
      </c>
      <c r="E18" s="48">
        <f>SUM(E7:E9,E16)</f>
        <v>33138.840000000004</v>
      </c>
      <c r="F18" s="71"/>
      <c r="G18" s="43">
        <f>SUM(G6)</f>
        <v>20500</v>
      </c>
      <c r="H18" s="48">
        <f>SUM(H7:H9,H16)</f>
        <v>18998.829999999998</v>
      </c>
      <c r="I18" s="29"/>
      <c r="J18" s="48">
        <f t="shared" ref="J18:M18" si="2">SUM(J7:J9,J16)</f>
        <v>41500</v>
      </c>
      <c r="K18" s="100">
        <f t="shared" si="2"/>
        <v>27884.91</v>
      </c>
      <c r="L18" s="100"/>
      <c r="M18" s="100">
        <f t="shared" si="2"/>
        <v>15000</v>
      </c>
      <c r="N18" s="100">
        <f>SUM(N7:N10,N16,N12)</f>
        <v>17045.16</v>
      </c>
      <c r="O18" s="100"/>
      <c r="P18" s="147">
        <f>SUM(P7:P10,P16,P12)</f>
        <v>0</v>
      </c>
      <c r="Q18" s="100">
        <f>SUM(Q7:Q10,Q16)</f>
        <v>15873</v>
      </c>
      <c r="R18" s="100"/>
      <c r="S18" s="125">
        <f>P18-Q18</f>
        <v>-15873</v>
      </c>
    </row>
    <row r="19" spans="1:19" ht="9.9499999999999993" customHeight="1" x14ac:dyDescent="0.25">
      <c r="A19" s="32"/>
      <c r="B19" s="16"/>
      <c r="C19" s="17"/>
      <c r="D19" s="18"/>
      <c r="E19" s="19"/>
      <c r="F19"/>
      <c r="G19" s="18"/>
      <c r="H19" s="19"/>
      <c r="J19" s="18"/>
      <c r="K19" s="73"/>
      <c r="L19" s="99"/>
      <c r="M19" s="73"/>
      <c r="N19" s="73"/>
      <c r="O19" s="99"/>
      <c r="P19" s="144"/>
      <c r="Q19" s="73"/>
      <c r="R19" s="99"/>
      <c r="S19" s="123"/>
    </row>
    <row r="20" spans="1:19" x14ac:dyDescent="0.25">
      <c r="A20" s="32" t="s">
        <v>13</v>
      </c>
      <c r="B20" s="16">
        <v>-360.01</v>
      </c>
      <c r="C20" s="17"/>
      <c r="D20" s="18">
        <v>-500</v>
      </c>
      <c r="E20" s="20">
        <v>-1439.61</v>
      </c>
      <c r="F20"/>
      <c r="G20" s="18">
        <v>-500</v>
      </c>
      <c r="H20" s="20">
        <v>-406.83</v>
      </c>
      <c r="J20" s="18">
        <v>-1500</v>
      </c>
      <c r="K20" s="76">
        <f>-416.45+-209.91</f>
        <v>-626.36</v>
      </c>
      <c r="L20" s="86"/>
      <c r="M20" s="76">
        <v>-750</v>
      </c>
      <c r="N20" s="76">
        <v>-804.55</v>
      </c>
      <c r="O20" s="86"/>
      <c r="P20" s="148"/>
      <c r="Q20" s="76">
        <v>-900</v>
      </c>
      <c r="R20" s="86"/>
      <c r="S20" s="126">
        <f>P20-Q20</f>
        <v>900</v>
      </c>
    </row>
    <row r="21" spans="1:19" x14ac:dyDescent="0.25">
      <c r="A21" s="32" t="s">
        <v>14</v>
      </c>
      <c r="B21" s="16">
        <v>184</v>
      </c>
      <c r="C21" s="17"/>
      <c r="D21" s="21">
        <v>150</v>
      </c>
      <c r="E21" s="22"/>
      <c r="F21"/>
      <c r="G21" s="21"/>
      <c r="H21" s="22">
        <v>45.2</v>
      </c>
      <c r="J21" s="21"/>
      <c r="K21" s="77"/>
      <c r="L21" s="86"/>
      <c r="M21" s="77"/>
      <c r="N21" s="77"/>
      <c r="O21" s="86"/>
      <c r="P21" s="149"/>
      <c r="Q21" s="77"/>
      <c r="R21" s="86"/>
      <c r="S21" s="127"/>
    </row>
    <row r="22" spans="1:19" x14ac:dyDescent="0.25">
      <c r="A22" s="4" t="s">
        <v>25</v>
      </c>
      <c r="B22" s="23">
        <f>SUM(B6:B21)</f>
        <v>21798.99</v>
      </c>
      <c r="C22" s="43"/>
      <c r="D22" s="24">
        <f>SUM(D18:D21)</f>
        <v>29650</v>
      </c>
      <c r="E22" s="24">
        <f>SUM(E18:E21)</f>
        <v>31699.230000000003</v>
      </c>
      <c r="F22"/>
      <c r="G22" s="24">
        <f>SUM(G18:G21)</f>
        <v>20000</v>
      </c>
      <c r="H22" s="24">
        <f>SUM(H18:H21)</f>
        <v>18637.199999999997</v>
      </c>
      <c r="J22" s="24">
        <f t="shared" ref="J22:P22" si="3">SUM(J18:J21)</f>
        <v>40000</v>
      </c>
      <c r="K22" s="78">
        <f t="shared" si="3"/>
        <v>27258.55</v>
      </c>
      <c r="L22" s="100"/>
      <c r="M22" s="78">
        <f t="shared" si="3"/>
        <v>14250</v>
      </c>
      <c r="N22" s="78">
        <f t="shared" ref="N22" si="4">SUM(N18:N21)</f>
        <v>16240.61</v>
      </c>
      <c r="O22" s="100"/>
      <c r="P22" s="150">
        <f t="shared" si="3"/>
        <v>0</v>
      </c>
      <c r="Q22" s="78">
        <f>SUM(Q18:Q21)</f>
        <v>14973</v>
      </c>
      <c r="R22" s="100"/>
      <c r="S22" s="128">
        <f>P22-Q22</f>
        <v>-14973</v>
      </c>
    </row>
    <row r="23" spans="1:19" ht="14.1" customHeight="1" x14ac:dyDescent="0.25">
      <c r="A23" s="32"/>
      <c r="B23" s="16"/>
      <c r="C23" s="17"/>
      <c r="D23" s="18"/>
      <c r="E23" s="20"/>
      <c r="F23"/>
      <c r="G23" s="18"/>
      <c r="H23" s="20"/>
      <c r="J23" s="18"/>
      <c r="K23" s="76"/>
      <c r="L23" s="86"/>
      <c r="M23" s="76"/>
      <c r="N23" s="76"/>
      <c r="O23" s="86"/>
      <c r="P23" s="148"/>
      <c r="Q23" s="76"/>
      <c r="R23" s="86"/>
      <c r="S23" s="126"/>
    </row>
    <row r="24" spans="1:19" x14ac:dyDescent="0.25">
      <c r="A24" s="32" t="s">
        <v>77</v>
      </c>
      <c r="B24" s="16">
        <v>4590</v>
      </c>
      <c r="C24" s="17"/>
      <c r="D24" s="18">
        <v>5200</v>
      </c>
      <c r="E24" s="20">
        <v>5920</v>
      </c>
      <c r="G24" s="18">
        <v>5000</v>
      </c>
      <c r="H24" s="20">
        <v>5930</v>
      </c>
      <c r="J24" s="18">
        <v>4500</v>
      </c>
      <c r="K24" s="76">
        <v>4930</v>
      </c>
      <c r="L24" s="86"/>
      <c r="M24" s="76">
        <v>4600</v>
      </c>
      <c r="N24" s="76">
        <v>7265</v>
      </c>
      <c r="O24" s="86"/>
      <c r="P24" s="148"/>
      <c r="Q24" s="76">
        <v>7500</v>
      </c>
      <c r="R24" s="86"/>
      <c r="S24" s="126">
        <f t="shared" ref="S24:S30" si="5">P24-Q24</f>
        <v>-7500</v>
      </c>
    </row>
    <row r="25" spans="1:19" x14ac:dyDescent="0.25">
      <c r="A25" s="32" t="s">
        <v>39</v>
      </c>
      <c r="B25" s="16">
        <f>2770+662.1+65</f>
        <v>3497.1</v>
      </c>
      <c r="C25" s="17"/>
      <c r="D25" s="18">
        <v>4500</v>
      </c>
      <c r="E25" s="19">
        <v>4020</v>
      </c>
      <c r="F25"/>
      <c r="G25" s="18">
        <v>3300</v>
      </c>
      <c r="H25" s="19">
        <v>3600</v>
      </c>
      <c r="J25" s="18">
        <v>3250</v>
      </c>
      <c r="K25" s="73">
        <v>3191</v>
      </c>
      <c r="L25" s="99"/>
      <c r="M25" s="73">
        <v>3100</v>
      </c>
      <c r="N25" s="73"/>
      <c r="O25" s="99"/>
      <c r="P25" s="144"/>
      <c r="Q25" s="73"/>
      <c r="R25" s="99"/>
      <c r="S25" s="126">
        <f t="shared" si="5"/>
        <v>0</v>
      </c>
    </row>
    <row r="26" spans="1:19" x14ac:dyDescent="0.25">
      <c r="A26" s="32" t="s">
        <v>40</v>
      </c>
      <c r="B26" s="16">
        <v>-2200</v>
      </c>
      <c r="C26" s="17"/>
      <c r="D26" s="18">
        <v>-2300</v>
      </c>
      <c r="E26" s="20">
        <v>-2300</v>
      </c>
      <c r="F26"/>
      <c r="G26" s="18">
        <v>-2300</v>
      </c>
      <c r="H26" s="20">
        <v>-2150</v>
      </c>
      <c r="J26" s="18">
        <v>-2250</v>
      </c>
      <c r="K26" s="76">
        <v>-2095</v>
      </c>
      <c r="L26" s="86"/>
      <c r="M26" s="76">
        <v>-2200</v>
      </c>
      <c r="N26" s="76"/>
      <c r="O26" s="86"/>
      <c r="P26" s="148"/>
      <c r="Q26" s="76"/>
      <c r="R26" s="86"/>
      <c r="S26" s="126">
        <f t="shared" si="5"/>
        <v>0</v>
      </c>
    </row>
    <row r="27" spans="1:19" x14ac:dyDescent="0.25">
      <c r="A27" s="32" t="s">
        <v>78</v>
      </c>
      <c r="B27" s="16"/>
      <c r="C27" s="17"/>
      <c r="D27" s="18"/>
      <c r="E27" s="20"/>
      <c r="F27"/>
      <c r="G27" s="18"/>
      <c r="H27" s="20"/>
      <c r="J27" s="18"/>
      <c r="K27" s="76"/>
      <c r="L27" s="86"/>
      <c r="M27" s="76"/>
      <c r="N27" s="76">
        <v>-1200</v>
      </c>
      <c r="O27" s="86"/>
      <c r="P27" s="148">
        <v>-500</v>
      </c>
      <c r="Q27" s="76">
        <v>-1200</v>
      </c>
      <c r="R27" s="86"/>
      <c r="S27" s="126">
        <f t="shared" si="5"/>
        <v>700</v>
      </c>
    </row>
    <row r="28" spans="1:19" x14ac:dyDescent="0.25">
      <c r="A28" s="32" t="s">
        <v>82</v>
      </c>
      <c r="B28" s="16"/>
      <c r="C28" s="17"/>
      <c r="D28" s="18"/>
      <c r="E28" s="20"/>
      <c r="F28"/>
      <c r="G28" s="18"/>
      <c r="H28" s="20"/>
      <c r="J28" s="18"/>
      <c r="K28" s="76"/>
      <c r="L28" s="86"/>
      <c r="M28" s="76"/>
      <c r="N28" s="76">
        <v>-210.6</v>
      </c>
      <c r="O28" s="86"/>
      <c r="P28" s="148"/>
      <c r="Q28" s="76">
        <f>-Q24*0.03</f>
        <v>-225</v>
      </c>
      <c r="R28" s="86"/>
      <c r="S28" s="126">
        <f t="shared" si="5"/>
        <v>225</v>
      </c>
    </row>
    <row r="29" spans="1:19" x14ac:dyDescent="0.25">
      <c r="A29" s="32" t="s">
        <v>81</v>
      </c>
      <c r="B29" s="94">
        <v>-2530</v>
      </c>
      <c r="C29" s="17"/>
      <c r="D29" s="21">
        <f>-D24*0.55</f>
        <v>-2860.0000000000005</v>
      </c>
      <c r="E29" s="22">
        <v>-3256</v>
      </c>
      <c r="G29" s="21">
        <f>-G24*0.55</f>
        <v>-2750</v>
      </c>
      <c r="H29" s="22">
        <v>-3261.5</v>
      </c>
      <c r="J29" s="21">
        <v>-2475</v>
      </c>
      <c r="K29" s="77">
        <v>-2711.5</v>
      </c>
      <c r="L29" s="86"/>
      <c r="M29" s="77">
        <v>-2530</v>
      </c>
      <c r="N29" s="77">
        <v>-2062.5</v>
      </c>
      <c r="O29" s="86"/>
      <c r="P29" s="149"/>
      <c r="Q29" s="77">
        <v>-2062.5</v>
      </c>
      <c r="R29" s="86"/>
      <c r="S29" s="127">
        <f t="shared" si="5"/>
        <v>2062.5</v>
      </c>
    </row>
    <row r="30" spans="1:19" x14ac:dyDescent="0.25">
      <c r="A30" s="4" t="s">
        <v>79</v>
      </c>
      <c r="B30" s="24">
        <f>SUM(B24:B29)</f>
        <v>3357.1000000000004</v>
      </c>
      <c r="C30" s="43"/>
      <c r="D30" s="24">
        <f>SUM(D24:D29)</f>
        <v>4540</v>
      </c>
      <c r="E30" s="25">
        <f>SUM(E24:E29)</f>
        <v>4384</v>
      </c>
      <c r="G30" s="61">
        <f>SUM(G24:G29)</f>
        <v>3250</v>
      </c>
      <c r="H30" s="25">
        <f>SUM(H24:H29)</f>
        <v>4118.5</v>
      </c>
      <c r="J30" s="61">
        <f>SUM(J24:J29)</f>
        <v>3025</v>
      </c>
      <c r="K30" s="80">
        <f>SUM(K24:K29)</f>
        <v>3314.5</v>
      </c>
      <c r="L30" s="83"/>
      <c r="M30" s="80">
        <f>SUM(M24:M29)</f>
        <v>2970</v>
      </c>
      <c r="N30" s="80">
        <f>SUM(N24:N29)</f>
        <v>3791.8999999999996</v>
      </c>
      <c r="O30" s="83"/>
      <c r="P30" s="151">
        <f>SUM(P24:P29)</f>
        <v>-500</v>
      </c>
      <c r="Q30" s="80">
        <f>SUM(Q24:Q29)</f>
        <v>4012.5</v>
      </c>
      <c r="R30" s="83"/>
      <c r="S30" s="126">
        <f t="shared" si="5"/>
        <v>-4512.5</v>
      </c>
    </row>
    <row r="31" spans="1:19" ht="12" customHeight="1" x14ac:dyDescent="0.25">
      <c r="A31" s="32"/>
      <c r="B31" s="41"/>
      <c r="C31" s="17"/>
      <c r="D31" s="18"/>
      <c r="E31" s="20"/>
      <c r="G31" s="18"/>
      <c r="H31" s="20"/>
      <c r="J31" s="18"/>
      <c r="K31" s="76"/>
      <c r="L31" s="86"/>
      <c r="M31" s="76"/>
      <c r="N31" s="76"/>
      <c r="O31" s="86"/>
      <c r="P31" s="148"/>
      <c r="Q31" s="76"/>
      <c r="R31" s="86"/>
      <c r="S31" s="126"/>
    </row>
    <row r="32" spans="1:19" hidden="1" x14ac:dyDescent="0.25">
      <c r="A32" s="32" t="s">
        <v>83</v>
      </c>
      <c r="B32" s="41"/>
      <c r="C32" s="17"/>
      <c r="D32" s="18"/>
      <c r="E32" s="20"/>
      <c r="G32" s="18"/>
      <c r="H32" s="20"/>
      <c r="J32" s="18"/>
      <c r="K32" s="76"/>
      <c r="L32" s="86"/>
      <c r="M32" s="76"/>
      <c r="N32"/>
      <c r="O32"/>
      <c r="P32" s="152"/>
      <c r="Q32"/>
      <c r="R32" s="70"/>
      <c r="S32" s="129"/>
    </row>
    <row r="33" spans="1:19" hidden="1" x14ac:dyDescent="0.25">
      <c r="A33" s="32" t="s">
        <v>84</v>
      </c>
      <c r="B33" s="41"/>
      <c r="C33" s="17"/>
      <c r="D33" s="18"/>
      <c r="E33" s="20"/>
      <c r="G33" s="18"/>
      <c r="H33" s="20"/>
      <c r="J33" s="18"/>
      <c r="K33" s="76"/>
      <c r="L33" s="86"/>
      <c r="M33" s="76"/>
      <c r="N33"/>
      <c r="O33"/>
      <c r="P33" s="152"/>
      <c r="Q33"/>
      <c r="R33" s="70"/>
      <c r="S33" s="129"/>
    </row>
    <row r="34" spans="1:19" hidden="1" x14ac:dyDescent="0.25">
      <c r="A34" s="4" t="s">
        <v>60</v>
      </c>
      <c r="B34" s="3">
        <v>770</v>
      </c>
      <c r="C34" s="43"/>
      <c r="D34" s="24">
        <v>500</v>
      </c>
      <c r="E34" s="25">
        <v>463</v>
      </c>
      <c r="G34" s="24"/>
      <c r="H34" s="25">
        <v>590.97</v>
      </c>
      <c r="J34" s="24">
        <v>250</v>
      </c>
      <c r="K34" s="80">
        <v>6090</v>
      </c>
      <c r="L34" s="83"/>
      <c r="M34" s="80">
        <v>250</v>
      </c>
      <c r="N34"/>
      <c r="O34"/>
      <c r="P34" s="152"/>
      <c r="Q34"/>
      <c r="R34" s="70"/>
      <c r="S34" s="129"/>
    </row>
    <row r="35" spans="1:19" ht="12.95" hidden="1" customHeight="1" x14ac:dyDescent="0.25">
      <c r="A35" s="32"/>
      <c r="B35" s="16"/>
      <c r="C35" s="17"/>
      <c r="D35" s="18"/>
      <c r="E35" s="20"/>
      <c r="G35" s="18"/>
      <c r="H35" s="20"/>
      <c r="J35" s="18"/>
      <c r="K35" s="76"/>
      <c r="L35" s="86"/>
      <c r="M35" s="76"/>
      <c r="N35" s="76"/>
      <c r="O35" s="86"/>
      <c r="P35" s="148"/>
      <c r="Q35" s="76"/>
      <c r="R35" s="86"/>
      <c r="S35" s="126"/>
    </row>
    <row r="36" spans="1:19" x14ac:dyDescent="0.25">
      <c r="A36" s="4" t="s">
        <v>7</v>
      </c>
      <c r="B36" s="3">
        <f>11.13+1.63+1.59+1.27</f>
        <v>15.620000000000001</v>
      </c>
      <c r="C36" s="43"/>
      <c r="D36" s="24">
        <v>10</v>
      </c>
      <c r="E36" s="25">
        <v>12.08</v>
      </c>
      <c r="G36" s="24">
        <v>10</v>
      </c>
      <c r="H36" s="25">
        <v>12.8</v>
      </c>
      <c r="J36" s="24">
        <v>15</v>
      </c>
      <c r="K36" s="80">
        <v>10.6</v>
      </c>
      <c r="L36" s="83"/>
      <c r="M36" s="80">
        <v>10</v>
      </c>
      <c r="N36" s="80">
        <v>9.11</v>
      </c>
      <c r="O36" s="83"/>
      <c r="P36" s="151">
        <f>0.71+0.5</f>
        <v>1.21</v>
      </c>
      <c r="Q36" s="80">
        <v>5</v>
      </c>
      <c r="R36" s="83"/>
      <c r="S36" s="126">
        <f>P36-Q36</f>
        <v>-3.79</v>
      </c>
    </row>
    <row r="37" spans="1:19" ht="8.1" customHeight="1" x14ac:dyDescent="0.25">
      <c r="A37" s="32"/>
      <c r="B37" s="16"/>
      <c r="C37" s="17"/>
      <c r="D37" s="18"/>
      <c r="E37" s="20"/>
      <c r="G37" s="18"/>
      <c r="H37" s="20"/>
      <c r="J37" s="18"/>
      <c r="K37" s="76"/>
      <c r="L37" s="86"/>
      <c r="M37" s="76"/>
      <c r="N37" s="76"/>
      <c r="O37" s="86"/>
      <c r="P37" s="148"/>
      <c r="Q37" s="76"/>
      <c r="R37" s="86"/>
      <c r="S37" s="126"/>
    </row>
    <row r="38" spans="1:19" x14ac:dyDescent="0.25">
      <c r="A38" s="4" t="s">
        <v>41</v>
      </c>
      <c r="B38" s="3">
        <v>4934.42</v>
      </c>
      <c r="C38" s="43"/>
      <c r="D38" s="24">
        <v>4500</v>
      </c>
      <c r="E38" s="25">
        <v>5032.9399999999996</v>
      </c>
      <c r="G38" s="61">
        <v>4500</v>
      </c>
      <c r="H38" s="25">
        <v>4595.2</v>
      </c>
      <c r="J38" s="61">
        <v>4000</v>
      </c>
      <c r="K38" s="80">
        <v>5104.58</v>
      </c>
      <c r="L38" s="83"/>
      <c r="M38" s="80">
        <v>4750</v>
      </c>
      <c r="N38" s="80">
        <v>4696.04</v>
      </c>
      <c r="O38" s="83"/>
      <c r="P38" s="151"/>
      <c r="Q38" s="80">
        <v>4700</v>
      </c>
      <c r="R38" s="83"/>
      <c r="S38" s="126">
        <f>P38-Q38</f>
        <v>-4700</v>
      </c>
    </row>
    <row r="39" spans="1:19" ht="12.95" customHeight="1" x14ac:dyDescent="0.25">
      <c r="A39" s="32"/>
      <c r="B39" s="16"/>
      <c r="C39" s="17"/>
      <c r="D39" s="18"/>
      <c r="E39" s="20"/>
      <c r="G39" s="18"/>
      <c r="H39" s="20"/>
      <c r="J39" s="18"/>
      <c r="K39" s="76"/>
      <c r="L39" s="86"/>
      <c r="M39" s="76"/>
      <c r="N39" s="76"/>
      <c r="O39" s="86"/>
      <c r="P39" s="148"/>
      <c r="Q39" s="76"/>
      <c r="R39" s="86"/>
      <c r="S39" s="126"/>
    </row>
    <row r="40" spans="1:19" ht="11.1" customHeight="1" x14ac:dyDescent="0.25">
      <c r="A40" s="32"/>
      <c r="B40" s="16"/>
      <c r="C40" s="17"/>
      <c r="D40" s="18"/>
      <c r="E40" s="20"/>
      <c r="G40" s="18"/>
      <c r="H40" s="20"/>
      <c r="J40" s="18"/>
      <c r="K40" s="76"/>
      <c r="L40" s="86"/>
      <c r="M40" s="76"/>
      <c r="N40" s="76"/>
      <c r="O40" s="86"/>
      <c r="P40" s="148"/>
      <c r="Q40" s="76"/>
      <c r="R40" s="86"/>
      <c r="S40" s="126"/>
    </row>
    <row r="41" spans="1:19" x14ac:dyDescent="0.25">
      <c r="A41" s="32" t="s">
        <v>116</v>
      </c>
      <c r="B41" s="16">
        <v>824</v>
      </c>
      <c r="C41" s="17"/>
      <c r="D41" s="18">
        <v>8000</v>
      </c>
      <c r="E41" s="20">
        <v>11146</v>
      </c>
      <c r="G41" s="18">
        <v>11750</v>
      </c>
      <c r="H41" s="20">
        <v>13535</v>
      </c>
      <c r="J41" s="18">
        <v>11500</v>
      </c>
      <c r="K41" s="76">
        <v>12953</v>
      </c>
      <c r="L41" s="86"/>
      <c r="M41" s="76">
        <v>10000</v>
      </c>
      <c r="N41" s="76">
        <v>0</v>
      </c>
      <c r="O41" s="86"/>
      <c r="P41" s="148">
        <f>10885-52.36</f>
        <v>10832.64</v>
      </c>
      <c r="Q41" s="76">
        <v>10800</v>
      </c>
      <c r="R41" s="86"/>
      <c r="S41" s="126">
        <f>P41-Q41</f>
        <v>32.639999999999418</v>
      </c>
    </row>
    <row r="42" spans="1:19" x14ac:dyDescent="0.25">
      <c r="A42" s="32" t="s">
        <v>113</v>
      </c>
      <c r="B42" s="16">
        <v>-445</v>
      </c>
      <c r="C42" s="17"/>
      <c r="D42" s="18">
        <f>-D41*0.55</f>
        <v>-4400</v>
      </c>
      <c r="E42" s="20">
        <v>-6402.42</v>
      </c>
      <c r="G42" s="18">
        <v>-7750</v>
      </c>
      <c r="H42" s="20">
        <v>-8883.6299999999992</v>
      </c>
      <c r="J42" s="18">
        <v>-7000</v>
      </c>
      <c r="K42" s="76">
        <v>-7792.74</v>
      </c>
      <c r="L42" s="86"/>
      <c r="M42" s="76">
        <v>-6200</v>
      </c>
      <c r="N42" s="76">
        <v>0</v>
      </c>
      <c r="O42" s="86"/>
      <c r="P42" s="148">
        <f>-6000-2190</f>
        <v>-8190</v>
      </c>
      <c r="Q42" s="76">
        <v>-8190</v>
      </c>
      <c r="R42" s="86"/>
      <c r="S42" s="126">
        <f>P42-Q42</f>
        <v>0</v>
      </c>
    </row>
    <row r="43" spans="1:19" x14ac:dyDescent="0.25">
      <c r="A43" s="4" t="s">
        <v>114</v>
      </c>
      <c r="B43" s="23">
        <f>B41+B42</f>
        <v>379</v>
      </c>
      <c r="C43" s="43"/>
      <c r="D43" s="26">
        <f>SUM(D41:D42)</f>
        <v>3600</v>
      </c>
      <c r="E43" s="27">
        <f>SUM(E41:E42)</f>
        <v>4743.58</v>
      </c>
      <c r="G43" s="60">
        <f>SUM(G41:G42)</f>
        <v>4000</v>
      </c>
      <c r="H43" s="27">
        <f>SUM(H41:H42)</f>
        <v>4651.3700000000008</v>
      </c>
      <c r="J43" s="60">
        <f t="shared" ref="J43:K43" si="6">SUM(J41:J42)</f>
        <v>4500</v>
      </c>
      <c r="K43" s="79">
        <f t="shared" si="6"/>
        <v>5160.26</v>
      </c>
      <c r="L43" s="83"/>
      <c r="M43" s="79">
        <f t="shared" ref="M43:N43" si="7">SUM(M41:M42)</f>
        <v>3800</v>
      </c>
      <c r="N43" s="79">
        <f t="shared" si="7"/>
        <v>0</v>
      </c>
      <c r="O43" s="83"/>
      <c r="P43" s="153">
        <f t="shared" ref="P43" si="8">SUM(P41:P42)</f>
        <v>2642.6399999999994</v>
      </c>
      <c r="Q43" s="79">
        <f>SUM(Q41:Q42)</f>
        <v>2610</v>
      </c>
      <c r="R43" s="83"/>
      <c r="S43" s="130">
        <f>P43-Q43</f>
        <v>32.639999999999418</v>
      </c>
    </row>
    <row r="44" spans="1:19" ht="12" customHeight="1" x14ac:dyDescent="0.25">
      <c r="A44" s="32"/>
      <c r="B44" s="16"/>
      <c r="C44" s="17"/>
      <c r="D44" s="18"/>
      <c r="E44" s="20"/>
      <c r="G44" s="18"/>
      <c r="H44" s="20"/>
      <c r="J44" s="18"/>
      <c r="K44" s="76"/>
      <c r="L44" s="86"/>
      <c r="M44" s="76"/>
      <c r="N44" s="76"/>
      <c r="O44" s="86"/>
      <c r="P44" s="148"/>
      <c r="Q44" s="76"/>
      <c r="R44" s="86"/>
      <c r="S44" s="126"/>
    </row>
    <row r="45" spans="1:19" x14ac:dyDescent="0.25">
      <c r="A45" s="32" t="s">
        <v>115</v>
      </c>
      <c r="B45" s="16">
        <v>824</v>
      </c>
      <c r="C45" s="17"/>
      <c r="D45" s="18">
        <v>8000</v>
      </c>
      <c r="E45" s="20">
        <v>11146</v>
      </c>
      <c r="G45" s="18">
        <v>11750</v>
      </c>
      <c r="H45" s="20">
        <v>13535</v>
      </c>
      <c r="J45" s="18">
        <v>11500</v>
      </c>
      <c r="K45" s="76">
        <v>12953</v>
      </c>
      <c r="L45" s="86"/>
      <c r="M45" s="76">
        <v>10000</v>
      </c>
      <c r="N45" s="76">
        <v>13152</v>
      </c>
      <c r="O45" s="86"/>
      <c r="P45" s="148">
        <f>15937-120.18</f>
        <v>15816.82</v>
      </c>
      <c r="Q45" s="76">
        <v>15800</v>
      </c>
      <c r="R45" s="86"/>
      <c r="S45" s="126">
        <f>P45-Q45</f>
        <v>16.819999999999709</v>
      </c>
    </row>
    <row r="46" spans="1:19" x14ac:dyDescent="0.25">
      <c r="A46" s="32" t="s">
        <v>45</v>
      </c>
      <c r="B46" s="16">
        <v>-445</v>
      </c>
      <c r="C46" s="17"/>
      <c r="D46" s="18">
        <f>-D45*0.55</f>
        <v>-4400</v>
      </c>
      <c r="E46" s="20">
        <v>-6402.42</v>
      </c>
      <c r="G46" s="18">
        <v>-7750</v>
      </c>
      <c r="H46" s="20">
        <v>-8883.6299999999992</v>
      </c>
      <c r="J46" s="18">
        <v>-7000</v>
      </c>
      <c r="K46" s="76">
        <v>-7792.74</v>
      </c>
      <c r="L46" s="86"/>
      <c r="M46" s="76">
        <v>-6200</v>
      </c>
      <c r="N46" s="76">
        <f>-7825.5+-97.67</f>
        <v>-7923.17</v>
      </c>
      <c r="O46" s="86"/>
      <c r="P46" s="148">
        <v>-9479</v>
      </c>
      <c r="Q46" s="76">
        <v>-9500</v>
      </c>
      <c r="R46" s="86"/>
      <c r="S46" s="126">
        <f>P46-Q46</f>
        <v>21</v>
      </c>
    </row>
    <row r="47" spans="1:19" x14ac:dyDescent="0.25">
      <c r="A47" s="4" t="s">
        <v>1</v>
      </c>
      <c r="B47" s="23">
        <f>B45+B46</f>
        <v>379</v>
      </c>
      <c r="C47" s="43"/>
      <c r="D47" s="26">
        <f>SUM(D45:D46)</f>
        <v>3600</v>
      </c>
      <c r="E47" s="27">
        <f>SUM(E45:E46)</f>
        <v>4743.58</v>
      </c>
      <c r="G47" s="60">
        <f>SUM(G45:G46)</f>
        <v>4000</v>
      </c>
      <c r="H47" s="27">
        <f>SUM(H45:H46)</f>
        <v>4651.3700000000008</v>
      </c>
      <c r="J47" s="60">
        <f t="shared" ref="J47:P47" si="9">SUM(J45:J46)</f>
        <v>4500</v>
      </c>
      <c r="K47" s="79">
        <f t="shared" si="9"/>
        <v>5160.26</v>
      </c>
      <c r="L47" s="83"/>
      <c r="M47" s="79">
        <f t="shared" si="9"/>
        <v>3800</v>
      </c>
      <c r="N47" s="79">
        <f t="shared" ref="N47" si="10">SUM(N45:N46)</f>
        <v>5228.83</v>
      </c>
      <c r="O47" s="83"/>
      <c r="P47" s="153">
        <f t="shared" si="9"/>
        <v>6337.82</v>
      </c>
      <c r="Q47" s="79">
        <f>SUM(Q45:Q46)</f>
        <v>6300</v>
      </c>
      <c r="R47" s="83"/>
      <c r="S47" s="130">
        <f>P47-Q47</f>
        <v>37.819999999999709</v>
      </c>
    </row>
    <row r="48" spans="1:19" ht="12" customHeight="1" x14ac:dyDescent="0.25">
      <c r="A48" s="32"/>
      <c r="B48" s="16"/>
      <c r="C48" s="17"/>
      <c r="D48" s="18"/>
      <c r="E48" s="20"/>
      <c r="G48" s="18"/>
      <c r="H48" s="20"/>
      <c r="J48" s="18"/>
      <c r="K48" s="76"/>
      <c r="L48" s="86"/>
      <c r="M48" s="76"/>
      <c r="N48" s="76"/>
      <c r="O48" s="86"/>
      <c r="P48" s="148"/>
      <c r="Q48" s="76"/>
      <c r="R48" s="86"/>
      <c r="S48" s="126"/>
    </row>
    <row r="49" spans="1:19" x14ac:dyDescent="0.25">
      <c r="A49" s="32" t="s">
        <v>0</v>
      </c>
      <c r="B49" s="16">
        <v>7200</v>
      </c>
      <c r="C49" s="17"/>
      <c r="D49" s="18">
        <v>6000</v>
      </c>
      <c r="E49" s="20">
        <v>7500</v>
      </c>
      <c r="G49" s="62">
        <v>6000</v>
      </c>
      <c r="H49" s="20">
        <v>10000</v>
      </c>
      <c r="J49" s="62">
        <v>7500</v>
      </c>
      <c r="K49" s="76">
        <v>10000</v>
      </c>
      <c r="L49" s="86"/>
      <c r="M49" s="76">
        <v>8000</v>
      </c>
      <c r="N49" s="76">
        <v>11250</v>
      </c>
      <c r="O49" s="86"/>
      <c r="P49" s="148"/>
      <c r="Q49" s="76">
        <v>10000</v>
      </c>
      <c r="R49" s="86"/>
      <c r="S49" s="126">
        <f>P49-Q49</f>
        <v>-10000</v>
      </c>
    </row>
    <row r="50" spans="1:19" x14ac:dyDescent="0.25">
      <c r="A50" s="2" t="s">
        <v>50</v>
      </c>
      <c r="B50" s="16">
        <v>240.21</v>
      </c>
      <c r="C50" s="17"/>
      <c r="D50" s="18">
        <v>0</v>
      </c>
      <c r="E50" s="20">
        <v>4000</v>
      </c>
      <c r="G50" s="18"/>
      <c r="H50" s="20"/>
      <c r="J50" s="18"/>
      <c r="K50" s="76"/>
      <c r="L50" s="86"/>
      <c r="M50" s="76"/>
      <c r="N50" s="76">
        <v>1020.05</v>
      </c>
      <c r="O50" s="86"/>
      <c r="P50" s="148"/>
      <c r="Q50" s="76"/>
      <c r="R50" s="86"/>
      <c r="S50" s="126">
        <f>P50-Q50</f>
        <v>0</v>
      </c>
    </row>
    <row r="51" spans="1:19" ht="12" customHeight="1" x14ac:dyDescent="0.25">
      <c r="A51" s="32"/>
      <c r="B51" s="16"/>
      <c r="C51" s="17"/>
      <c r="D51" s="18"/>
      <c r="E51" s="20"/>
      <c r="G51" s="18"/>
      <c r="H51" s="20"/>
      <c r="J51" s="18"/>
      <c r="K51" s="76"/>
      <c r="L51" s="86"/>
      <c r="M51" s="76"/>
      <c r="N51" s="76"/>
      <c r="O51" s="86"/>
      <c r="P51" s="148"/>
      <c r="Q51" s="76"/>
      <c r="R51" s="86"/>
      <c r="S51" s="126"/>
    </row>
    <row r="52" spans="1:19" x14ac:dyDescent="0.25">
      <c r="A52" s="4" t="s">
        <v>26</v>
      </c>
      <c r="B52" s="26">
        <f>+B50+B49+B47+B34+B30+B38+B36+B22</f>
        <v>38695.339999999997</v>
      </c>
      <c r="C52" s="43"/>
      <c r="D52" s="26">
        <f>+D50+D49+D47+D34+D30+D38+D36+D22</f>
        <v>48800</v>
      </c>
      <c r="E52" s="27">
        <f>+E50+E49+E47+E34+E30+E38+E36+E22</f>
        <v>57834.83</v>
      </c>
      <c r="G52" s="26">
        <f>+G50+G49+G47+G34+G30+G38+G36+G22</f>
        <v>37760</v>
      </c>
      <c r="H52" s="27">
        <f>+H50+H49+H47+H34+H30+H38+H36+H22</f>
        <v>42606.039999999994</v>
      </c>
      <c r="J52" s="26">
        <f>+J50+J49+J47+J34+J30+J38+J36+J22</f>
        <v>59290</v>
      </c>
      <c r="K52" s="79">
        <f>+K50+K49+K47+K34+K30+K38+K36+K22</f>
        <v>56938.490000000005</v>
      </c>
      <c r="L52" s="83"/>
      <c r="M52" s="79">
        <f>+M50+M49+M47+M34+M30+M38+M36+M22</f>
        <v>34030</v>
      </c>
      <c r="N52" s="79">
        <f>+N50+N49+N47+N34+N30+N38+N36++N22+N43</f>
        <v>42236.54</v>
      </c>
      <c r="O52" s="83"/>
      <c r="P52" s="153">
        <f>+P50+P49+P47+P34+P30+P38+P36++P22+P43</f>
        <v>8481.6699999999983</v>
      </c>
      <c r="Q52" s="79">
        <f>+Q50+Q49+Q47+Q34+Q30+Q38+Q36++Q22+Q43</f>
        <v>42600.5</v>
      </c>
      <c r="R52" s="83"/>
      <c r="S52" s="130">
        <f>P52-Q52</f>
        <v>-34118.83</v>
      </c>
    </row>
    <row r="53" spans="1:19" ht="14.1" customHeight="1" x14ac:dyDescent="0.25">
      <c r="A53" s="32"/>
      <c r="B53" s="16"/>
      <c r="C53" s="17"/>
      <c r="D53" s="18"/>
      <c r="E53" s="20"/>
      <c r="G53" s="18"/>
      <c r="H53" s="20"/>
      <c r="J53" s="18"/>
      <c r="K53" s="76"/>
      <c r="L53" s="86"/>
      <c r="M53" s="76"/>
      <c r="N53" s="76"/>
      <c r="O53" s="86"/>
      <c r="P53" s="148"/>
      <c r="Q53" s="76"/>
      <c r="R53" s="86"/>
      <c r="S53" s="126"/>
    </row>
    <row r="54" spans="1:19" x14ac:dyDescent="0.25">
      <c r="A54" s="13" t="s">
        <v>56</v>
      </c>
      <c r="B54" s="16"/>
      <c r="C54" s="17"/>
      <c r="D54" s="18"/>
      <c r="E54" s="20"/>
      <c r="G54" s="18"/>
      <c r="H54" s="20"/>
      <c r="J54" s="18"/>
      <c r="K54" s="76"/>
      <c r="L54" s="86"/>
      <c r="M54" s="76"/>
      <c r="N54" s="76"/>
      <c r="O54" s="86"/>
      <c r="P54" s="148"/>
      <c r="Q54" s="76"/>
      <c r="R54" s="86"/>
      <c r="S54" s="126"/>
    </row>
    <row r="55" spans="1:19" x14ac:dyDescent="0.25">
      <c r="A55" s="32" t="s">
        <v>20</v>
      </c>
      <c r="B55" s="16">
        <v>3578.54</v>
      </c>
      <c r="C55" s="17"/>
      <c r="D55" s="18">
        <v>4000</v>
      </c>
      <c r="E55" s="20">
        <v>2497.56</v>
      </c>
      <c r="G55" s="18">
        <v>4000</v>
      </c>
      <c r="H55" s="20">
        <v>3810.92</v>
      </c>
      <c r="J55" s="18">
        <v>4000</v>
      </c>
      <c r="K55" s="76">
        <v>3646.72</v>
      </c>
      <c r="L55" s="86"/>
      <c r="M55" s="76">
        <v>2400</v>
      </c>
      <c r="N55" s="76">
        <v>1911.4</v>
      </c>
      <c r="O55" s="86"/>
      <c r="P55" s="148"/>
      <c r="Q55" s="76">
        <v>2400</v>
      </c>
      <c r="R55" s="86"/>
      <c r="S55" s="126">
        <f>P55-Q55</f>
        <v>-2400</v>
      </c>
    </row>
    <row r="56" spans="1:19" x14ac:dyDescent="0.25">
      <c r="A56" s="32" t="s">
        <v>21</v>
      </c>
      <c r="B56" s="16">
        <v>-2940.93</v>
      </c>
      <c r="C56" s="17"/>
      <c r="D56" s="18">
        <v>-3500</v>
      </c>
      <c r="E56" s="20">
        <v>-2737</v>
      </c>
      <c r="G56" s="18">
        <v>-3500</v>
      </c>
      <c r="H56" s="20">
        <v>-2630</v>
      </c>
      <c r="J56" s="18">
        <v>-3000</v>
      </c>
      <c r="K56" s="76">
        <v>-2124</v>
      </c>
      <c r="L56" s="86"/>
      <c r="M56" s="76">
        <v>-1300</v>
      </c>
      <c r="N56" s="76">
        <v>-1333</v>
      </c>
      <c r="O56" s="86"/>
      <c r="P56" s="148"/>
      <c r="Q56" s="76">
        <v>-1300</v>
      </c>
      <c r="R56" s="86"/>
      <c r="S56" s="126">
        <f>P56-Q56</f>
        <v>1300</v>
      </c>
    </row>
    <row r="57" spans="1:19" x14ac:dyDescent="0.25">
      <c r="A57" s="4" t="s">
        <v>22</v>
      </c>
      <c r="B57" s="23">
        <f>SUM(B55:B56)</f>
        <v>637.61000000000013</v>
      </c>
      <c r="C57" s="43"/>
      <c r="D57" s="26">
        <f>SUM(D55:D56)</f>
        <v>500</v>
      </c>
      <c r="E57" s="59">
        <f>SUM(E55:E56)</f>
        <v>-239.44000000000005</v>
      </c>
      <c r="G57" s="60">
        <f>SUM(G55:G56)</f>
        <v>500</v>
      </c>
      <c r="H57" s="27">
        <f>SUM(H55:H56)</f>
        <v>1180.92</v>
      </c>
      <c r="J57" s="60">
        <f t="shared" ref="J57:P57" si="11">SUM(J55:J56)</f>
        <v>1000</v>
      </c>
      <c r="K57" s="79">
        <f t="shared" si="11"/>
        <v>1522.7199999999998</v>
      </c>
      <c r="L57" s="83"/>
      <c r="M57" s="79">
        <f t="shared" si="11"/>
        <v>1100</v>
      </c>
      <c r="N57" s="79">
        <f t="shared" ref="N57" si="12">SUM(N55:N56)</f>
        <v>578.40000000000009</v>
      </c>
      <c r="O57" s="83"/>
      <c r="P57" s="153">
        <f t="shared" si="11"/>
        <v>0</v>
      </c>
      <c r="Q57" s="79">
        <f>SUM(Q55:Q56)</f>
        <v>1100</v>
      </c>
      <c r="R57" s="83"/>
      <c r="S57" s="130">
        <f>P57-Q57</f>
        <v>-1100</v>
      </c>
    </row>
    <row r="58" spans="1:19" ht="9" customHeight="1" x14ac:dyDescent="0.25">
      <c r="A58" s="32"/>
      <c r="B58" s="16"/>
      <c r="C58" s="17"/>
      <c r="D58" s="18"/>
      <c r="E58" s="20"/>
      <c r="G58" s="18"/>
      <c r="H58" s="20"/>
      <c r="J58" s="18"/>
      <c r="K58" s="76"/>
      <c r="L58" s="86"/>
      <c r="M58" s="76"/>
      <c r="N58" s="76"/>
      <c r="O58" s="86"/>
      <c r="P58" s="148"/>
      <c r="Q58" s="76"/>
      <c r="R58" s="86"/>
      <c r="S58" s="126"/>
    </row>
    <row r="59" spans="1:19" x14ac:dyDescent="0.25">
      <c r="A59" s="4" t="s">
        <v>57</v>
      </c>
      <c r="B59" s="3">
        <v>500</v>
      </c>
      <c r="C59" s="43"/>
      <c r="D59" s="24">
        <v>500</v>
      </c>
      <c r="E59" s="25">
        <v>500</v>
      </c>
      <c r="G59" s="61">
        <v>500</v>
      </c>
      <c r="H59" s="25">
        <v>500</v>
      </c>
      <c r="J59" s="61">
        <v>500</v>
      </c>
      <c r="K59" s="80">
        <v>500</v>
      </c>
      <c r="L59" s="83"/>
      <c r="M59" s="80">
        <v>500</v>
      </c>
      <c r="N59" s="80">
        <v>500</v>
      </c>
      <c r="O59" s="83"/>
      <c r="P59" s="151"/>
      <c r="Q59" s="80">
        <v>500</v>
      </c>
      <c r="R59" s="83"/>
      <c r="S59" s="126">
        <f>P59-Q59</f>
        <v>-500</v>
      </c>
    </row>
    <row r="60" spans="1:19" ht="12" customHeight="1" x14ac:dyDescent="0.25">
      <c r="A60" s="32"/>
      <c r="B60" s="16"/>
      <c r="C60" s="17"/>
      <c r="D60" s="18"/>
      <c r="E60" s="20"/>
      <c r="G60" s="18"/>
      <c r="H60" s="20"/>
      <c r="J60" s="18"/>
      <c r="K60" s="76"/>
      <c r="L60" s="86"/>
      <c r="M60" s="76"/>
      <c r="N60" s="76"/>
      <c r="O60" s="86"/>
      <c r="P60" s="148"/>
      <c r="Q60" s="76"/>
      <c r="R60" s="86"/>
      <c r="S60" s="126"/>
    </row>
    <row r="61" spans="1:19" x14ac:dyDescent="0.25">
      <c r="A61" s="32" t="s">
        <v>23</v>
      </c>
      <c r="B61" s="16">
        <v>8587.7900000000009</v>
      </c>
      <c r="C61" s="17"/>
      <c r="D61" s="18">
        <v>9200</v>
      </c>
      <c r="E61" s="20">
        <v>8857.4500000000007</v>
      </c>
      <c r="G61" s="18">
        <v>10500</v>
      </c>
      <c r="H61" s="20">
        <v>11195.09</v>
      </c>
      <c r="J61" s="18">
        <v>9500</v>
      </c>
      <c r="K61" s="76">
        <v>9566.36</v>
      </c>
      <c r="L61" s="86"/>
      <c r="M61" s="76">
        <v>9600</v>
      </c>
      <c r="N61" s="76">
        <v>8332.2800000000007</v>
      </c>
      <c r="O61" s="86"/>
      <c r="P61" s="148"/>
      <c r="Q61" s="76">
        <v>9000</v>
      </c>
      <c r="R61" s="86"/>
      <c r="S61" s="126">
        <f>P61-Q61</f>
        <v>-9000</v>
      </c>
    </row>
    <row r="62" spans="1:19" x14ac:dyDescent="0.25">
      <c r="A62" s="32" t="s">
        <v>58</v>
      </c>
      <c r="B62" s="16">
        <v>-7780</v>
      </c>
      <c r="C62" s="17"/>
      <c r="D62" s="21">
        <v>-8000</v>
      </c>
      <c r="E62" s="22">
        <v>-7920</v>
      </c>
      <c r="G62" s="21">
        <v>-8200</v>
      </c>
      <c r="H62" s="22">
        <v>-8240</v>
      </c>
      <c r="J62" s="21">
        <v>-7500</v>
      </c>
      <c r="K62" s="77">
        <v>-7750</v>
      </c>
      <c r="L62" s="86"/>
      <c r="M62" s="77">
        <v>-7600</v>
      </c>
      <c r="N62" s="77">
        <v>-7875</v>
      </c>
      <c r="O62" s="86"/>
      <c r="P62" s="149"/>
      <c r="Q62" s="77">
        <v>-7000</v>
      </c>
      <c r="R62" s="86"/>
      <c r="S62" s="127">
        <f>P62-Q62</f>
        <v>7000</v>
      </c>
    </row>
    <row r="63" spans="1:19" x14ac:dyDescent="0.25">
      <c r="A63" s="4" t="s">
        <v>37</v>
      </c>
      <c r="B63" s="23">
        <f>SUM(B61:B62)</f>
        <v>807.79000000000087</v>
      </c>
      <c r="C63" s="43"/>
      <c r="D63" s="24">
        <f>SUM(D61:D62)</f>
        <v>1200</v>
      </c>
      <c r="E63" s="58">
        <f>SUM(E61:E62)</f>
        <v>937.45000000000073</v>
      </c>
      <c r="G63" s="61">
        <f>SUM(G61:G62)</f>
        <v>2300</v>
      </c>
      <c r="H63" s="25">
        <f>SUM(H61:H62)</f>
        <v>2955.09</v>
      </c>
      <c r="J63" s="61">
        <f t="shared" ref="J63:P63" si="13">SUM(J61:J62)</f>
        <v>2000</v>
      </c>
      <c r="K63" s="80">
        <f t="shared" si="13"/>
        <v>1816.3600000000006</v>
      </c>
      <c r="L63" s="83"/>
      <c r="M63" s="80">
        <f t="shared" si="13"/>
        <v>2000</v>
      </c>
      <c r="N63" s="80">
        <f t="shared" ref="N63" si="14">SUM(N61:N62)</f>
        <v>457.28000000000065</v>
      </c>
      <c r="O63" s="83"/>
      <c r="P63" s="151">
        <f t="shared" si="13"/>
        <v>0</v>
      </c>
      <c r="Q63" s="80">
        <f>SUM(Q61:Q62)</f>
        <v>2000</v>
      </c>
      <c r="R63" s="83"/>
      <c r="S63" s="126">
        <f>P63-Q63</f>
        <v>-2000</v>
      </c>
    </row>
    <row r="64" spans="1:19" ht="18" customHeight="1" x14ac:dyDescent="0.25">
      <c r="A64" s="32"/>
      <c r="B64" s="41"/>
      <c r="C64" s="17"/>
      <c r="D64" s="18"/>
      <c r="E64" s="20"/>
      <c r="G64" s="18"/>
      <c r="H64" s="20"/>
      <c r="J64" s="18"/>
      <c r="K64" s="76"/>
      <c r="L64" s="86"/>
      <c r="M64" s="76"/>
      <c r="N64" s="76"/>
      <c r="O64" s="86"/>
      <c r="P64" s="148"/>
      <c r="Q64" s="76"/>
      <c r="R64" s="86"/>
      <c r="S64" s="126"/>
    </row>
    <row r="65" spans="1:19" hidden="1" x14ac:dyDescent="0.25">
      <c r="A65" s="32" t="s">
        <v>16</v>
      </c>
      <c r="B65" s="16"/>
      <c r="C65" s="17"/>
      <c r="D65" s="18"/>
      <c r="E65" s="20"/>
      <c r="G65" s="18"/>
      <c r="H65" s="20">
        <v>2100</v>
      </c>
      <c r="J65" s="18">
        <v>0</v>
      </c>
      <c r="K65" s="76"/>
      <c r="L65" s="86"/>
      <c r="M65" s="76"/>
      <c r="N65" s="76"/>
      <c r="O65" s="86"/>
      <c r="P65" s="148"/>
      <c r="Q65" s="76"/>
      <c r="R65" s="86"/>
      <c r="S65" s="126">
        <f t="shared" ref="S65:S81" si="15">P65-Q65</f>
        <v>0</v>
      </c>
    </row>
    <row r="66" spans="1:19" hidden="1" x14ac:dyDescent="0.25">
      <c r="A66" s="32" t="s">
        <v>2</v>
      </c>
      <c r="B66" s="16"/>
      <c r="C66" s="17"/>
      <c r="D66" s="18">
        <v>2500</v>
      </c>
      <c r="E66" s="20">
        <v>1497</v>
      </c>
      <c r="G66" s="18"/>
      <c r="H66" s="20">
        <v>0</v>
      </c>
      <c r="J66" s="18">
        <v>0</v>
      </c>
      <c r="K66" s="76"/>
      <c r="L66" s="86"/>
      <c r="M66" s="76"/>
      <c r="N66" s="76"/>
      <c r="O66" s="86"/>
      <c r="P66" s="148"/>
      <c r="Q66" s="76"/>
      <c r="R66" s="86"/>
      <c r="S66" s="126">
        <f t="shared" si="15"/>
        <v>0</v>
      </c>
    </row>
    <row r="67" spans="1:19" hidden="1" x14ac:dyDescent="0.25">
      <c r="A67" s="32" t="s">
        <v>54</v>
      </c>
      <c r="B67" s="16"/>
      <c r="C67" s="17"/>
      <c r="D67" s="18">
        <v>500</v>
      </c>
      <c r="E67" s="20"/>
      <c r="G67" s="18"/>
      <c r="H67" s="20">
        <v>0</v>
      </c>
      <c r="J67" s="18">
        <v>0</v>
      </c>
      <c r="K67" s="76"/>
      <c r="L67" s="86"/>
      <c r="M67" s="76"/>
      <c r="N67" s="76"/>
      <c r="O67" s="86"/>
      <c r="P67" s="148"/>
      <c r="Q67" s="76"/>
      <c r="R67" s="86"/>
      <c r="S67" s="126">
        <f t="shared" si="15"/>
        <v>0</v>
      </c>
    </row>
    <row r="68" spans="1:19" hidden="1" x14ac:dyDescent="0.25">
      <c r="A68" s="32" t="s">
        <v>55</v>
      </c>
      <c r="B68" s="16"/>
      <c r="C68" s="17"/>
      <c r="D68" s="18">
        <v>2500</v>
      </c>
      <c r="E68" s="20">
        <v>2376.9</v>
      </c>
      <c r="G68" s="18">
        <v>2550</v>
      </c>
      <c r="H68" s="20">
        <v>2568.64</v>
      </c>
      <c r="J68" s="18">
        <v>2500</v>
      </c>
      <c r="K68" s="76">
        <v>2436.02</v>
      </c>
      <c r="L68" s="86"/>
      <c r="M68" s="76">
        <v>2400</v>
      </c>
      <c r="N68" s="76">
        <v>2481.15</v>
      </c>
      <c r="O68" s="86"/>
      <c r="P68" s="148"/>
      <c r="Q68" s="76">
        <v>0</v>
      </c>
      <c r="R68" s="86"/>
      <c r="S68" s="126">
        <f t="shared" si="15"/>
        <v>0</v>
      </c>
    </row>
    <row r="69" spans="1:19" hidden="1" x14ac:dyDescent="0.25">
      <c r="A69" s="32" t="s">
        <v>47</v>
      </c>
      <c r="B69" s="16">
        <v>749.15</v>
      </c>
      <c r="C69" s="17"/>
      <c r="D69" s="18">
        <v>0</v>
      </c>
      <c r="E69" s="20"/>
      <c r="G69" s="18"/>
      <c r="H69" s="20">
        <v>0</v>
      </c>
      <c r="J69" s="18"/>
      <c r="K69" s="76"/>
      <c r="L69" s="86"/>
      <c r="M69" s="76"/>
      <c r="N69" s="76"/>
      <c r="O69" s="86"/>
      <c r="P69" s="148"/>
      <c r="Q69" s="76"/>
      <c r="R69" s="86"/>
      <c r="S69" s="126">
        <f t="shared" si="15"/>
        <v>0</v>
      </c>
    </row>
    <row r="70" spans="1:19" x14ac:dyDescent="0.25">
      <c r="A70" s="32" t="s">
        <v>27</v>
      </c>
      <c r="B70" s="16">
        <v>993.63</v>
      </c>
      <c r="C70" s="17"/>
      <c r="D70" s="18">
        <v>1200</v>
      </c>
      <c r="E70" s="20">
        <v>1213.97</v>
      </c>
      <c r="G70" s="18">
        <v>2000</v>
      </c>
      <c r="H70" s="20">
        <v>2496.19</v>
      </c>
      <c r="J70" s="18">
        <v>2500</v>
      </c>
      <c r="K70" s="76">
        <v>3143.73</v>
      </c>
      <c r="L70" s="86"/>
      <c r="M70" s="76">
        <v>2850</v>
      </c>
      <c r="N70" s="76">
        <v>3128.34</v>
      </c>
      <c r="O70" s="86"/>
      <c r="P70" s="148"/>
      <c r="Q70" s="76">
        <v>2925</v>
      </c>
      <c r="R70" s="86"/>
      <c r="S70" s="126">
        <f t="shared" si="15"/>
        <v>-2925</v>
      </c>
    </row>
    <row r="71" spans="1:19" x14ac:dyDescent="0.25">
      <c r="A71" s="32" t="s">
        <v>28</v>
      </c>
      <c r="B71" s="16"/>
      <c r="C71" s="17"/>
      <c r="D71" s="18">
        <v>50</v>
      </c>
      <c r="E71" s="20"/>
      <c r="G71" s="18">
        <v>50</v>
      </c>
      <c r="H71" s="20">
        <v>88.67</v>
      </c>
      <c r="J71" s="18">
        <v>75</v>
      </c>
      <c r="K71" s="76">
        <v>39.520000000000003</v>
      </c>
      <c r="L71" s="86"/>
      <c r="M71" s="76">
        <v>75</v>
      </c>
      <c r="N71" s="76">
        <v>32.75</v>
      </c>
      <c r="O71" s="86"/>
      <c r="P71" s="148"/>
      <c r="Q71" s="76">
        <v>50</v>
      </c>
      <c r="R71" s="86"/>
      <c r="S71" s="126">
        <f t="shared" si="15"/>
        <v>-50</v>
      </c>
    </row>
    <row r="72" spans="1:19" x14ac:dyDescent="0.25">
      <c r="A72" s="32" t="s">
        <v>59</v>
      </c>
      <c r="B72" s="16">
        <v>384.17</v>
      </c>
      <c r="C72" s="17"/>
      <c r="D72" s="18">
        <v>700</v>
      </c>
      <c r="E72" s="20">
        <v>434.56</v>
      </c>
      <c r="G72" s="18">
        <v>600</v>
      </c>
      <c r="H72" s="20">
        <v>365</v>
      </c>
      <c r="J72" s="18">
        <v>400</v>
      </c>
      <c r="K72" s="76">
        <v>623.35</v>
      </c>
      <c r="L72" s="86"/>
      <c r="M72" s="76">
        <v>625</v>
      </c>
      <c r="N72" s="76">
        <v>585.26</v>
      </c>
      <c r="O72" s="86"/>
      <c r="P72" s="148"/>
      <c r="Q72" s="76">
        <v>675</v>
      </c>
      <c r="R72" s="86"/>
      <c r="S72" s="126">
        <f t="shared" si="15"/>
        <v>-675</v>
      </c>
    </row>
    <row r="73" spans="1:19" hidden="1" x14ac:dyDescent="0.25">
      <c r="A73" s="32" t="s">
        <v>34</v>
      </c>
      <c r="B73" s="16">
        <v>247.57</v>
      </c>
      <c r="C73" s="17"/>
      <c r="D73" s="18">
        <v>250</v>
      </c>
      <c r="E73" s="20">
        <v>183.34</v>
      </c>
      <c r="G73" s="18">
        <v>100</v>
      </c>
      <c r="H73" s="20">
        <v>71.739999999999995</v>
      </c>
      <c r="J73" s="18"/>
      <c r="K73" s="76"/>
      <c r="L73" s="86"/>
      <c r="M73" s="76"/>
      <c r="N73" s="76"/>
      <c r="O73" s="86"/>
      <c r="P73" s="148"/>
      <c r="Q73" s="76"/>
      <c r="R73" s="86"/>
      <c r="S73" s="126">
        <f t="shared" si="15"/>
        <v>0</v>
      </c>
    </row>
    <row r="74" spans="1:19" hidden="1" x14ac:dyDescent="0.25">
      <c r="A74" s="32" t="s">
        <v>42</v>
      </c>
      <c r="B74" s="16">
        <v>1874.33</v>
      </c>
      <c r="C74" s="17"/>
      <c r="D74" s="18">
        <v>0</v>
      </c>
      <c r="E74" s="20"/>
      <c r="G74" s="18"/>
      <c r="H74" s="20"/>
      <c r="J74" s="18"/>
      <c r="K74" s="76"/>
      <c r="L74" s="86"/>
      <c r="M74" s="76"/>
      <c r="N74" s="76"/>
      <c r="O74" s="86"/>
      <c r="P74" s="148"/>
      <c r="Q74" s="76"/>
      <c r="R74" s="86"/>
      <c r="S74" s="126">
        <f t="shared" si="15"/>
        <v>0</v>
      </c>
    </row>
    <row r="75" spans="1:19" x14ac:dyDescent="0.25">
      <c r="A75" s="32" t="s">
        <v>112</v>
      </c>
      <c r="B75" s="16">
        <v>1447.16</v>
      </c>
      <c r="C75" s="17"/>
      <c r="D75" s="18">
        <v>1500</v>
      </c>
      <c r="E75" s="20">
        <v>3000.98</v>
      </c>
      <c r="G75" s="18">
        <v>3000</v>
      </c>
      <c r="H75" s="20">
        <v>2066.88</v>
      </c>
      <c r="J75" s="18">
        <v>3000</v>
      </c>
      <c r="K75" s="76">
        <v>2806.56</v>
      </c>
      <c r="L75" s="86"/>
      <c r="M75" s="76">
        <v>3000</v>
      </c>
      <c r="N75" s="76">
        <v>0</v>
      </c>
      <c r="O75" s="86"/>
      <c r="P75" s="148"/>
      <c r="Q75" s="76">
        <v>135</v>
      </c>
      <c r="R75" s="86"/>
      <c r="S75" s="126">
        <f t="shared" ref="S75" si="16">P75-Q75</f>
        <v>-135</v>
      </c>
    </row>
    <row r="76" spans="1:19" x14ac:dyDescent="0.25">
      <c r="A76" s="32" t="s">
        <v>53</v>
      </c>
      <c r="B76" s="16">
        <v>1447.16</v>
      </c>
      <c r="C76" s="17"/>
      <c r="D76" s="18">
        <v>1500</v>
      </c>
      <c r="E76" s="20">
        <v>3000.98</v>
      </c>
      <c r="G76" s="18">
        <v>3000</v>
      </c>
      <c r="H76" s="20">
        <v>2066.88</v>
      </c>
      <c r="J76" s="18">
        <v>3000</v>
      </c>
      <c r="K76" s="76">
        <v>2806.56</v>
      </c>
      <c r="L76" s="86"/>
      <c r="M76" s="76">
        <v>3000</v>
      </c>
      <c r="N76" s="76">
        <v>3148.88</v>
      </c>
      <c r="O76" s="86"/>
      <c r="P76" s="148"/>
      <c r="Q76" s="76">
        <v>3500</v>
      </c>
      <c r="R76" s="86"/>
      <c r="S76" s="126">
        <f t="shared" si="15"/>
        <v>-3500</v>
      </c>
    </row>
    <row r="77" spans="1:19" x14ac:dyDescent="0.25">
      <c r="A77" s="32" t="s">
        <v>62</v>
      </c>
      <c r="B77" s="16">
        <v>622.96</v>
      </c>
      <c r="C77" s="17"/>
      <c r="D77" s="18">
        <v>625</v>
      </c>
      <c r="E77" s="20">
        <v>500</v>
      </c>
      <c r="G77" s="18">
        <v>700</v>
      </c>
      <c r="H77" s="20">
        <v>239.85</v>
      </c>
      <c r="J77" s="18">
        <v>500</v>
      </c>
      <c r="K77" s="76">
        <v>366.26</v>
      </c>
      <c r="L77" s="86"/>
      <c r="M77" s="76">
        <v>450</v>
      </c>
      <c r="N77" s="76">
        <v>383.71</v>
      </c>
      <c r="O77" s="86"/>
      <c r="P77" s="148"/>
      <c r="Q77" s="76">
        <v>400</v>
      </c>
      <c r="R77" s="86"/>
      <c r="S77" s="126">
        <f t="shared" si="15"/>
        <v>-400</v>
      </c>
    </row>
    <row r="78" spans="1:19" hidden="1" x14ac:dyDescent="0.25">
      <c r="A78" s="2" t="s">
        <v>64</v>
      </c>
      <c r="B78" s="16"/>
      <c r="C78" s="17"/>
      <c r="D78" s="18">
        <v>500</v>
      </c>
      <c r="E78" s="20">
        <v>500</v>
      </c>
      <c r="G78" s="18">
        <v>0</v>
      </c>
      <c r="H78" s="20"/>
      <c r="J78" s="18"/>
      <c r="K78" s="76"/>
      <c r="L78" s="86"/>
      <c r="M78" s="76"/>
      <c r="N78" s="76"/>
      <c r="O78" s="86"/>
      <c r="P78" s="148"/>
      <c r="Q78" s="76"/>
      <c r="R78" s="86"/>
      <c r="S78" s="126">
        <f t="shared" si="15"/>
        <v>0</v>
      </c>
    </row>
    <row r="79" spans="1:19" hidden="1" x14ac:dyDescent="0.25">
      <c r="A79" s="32" t="s">
        <v>63</v>
      </c>
      <c r="B79" s="16"/>
      <c r="C79" s="17"/>
      <c r="D79" s="18">
        <v>500</v>
      </c>
      <c r="E79" s="20">
        <v>500</v>
      </c>
      <c r="G79" s="18">
        <v>0</v>
      </c>
      <c r="H79" s="20"/>
      <c r="J79" s="18"/>
      <c r="K79" s="76"/>
      <c r="L79" s="86"/>
      <c r="M79" s="76"/>
      <c r="N79" s="76"/>
      <c r="O79" s="86"/>
      <c r="P79" s="148"/>
      <c r="Q79" s="76"/>
      <c r="R79" s="86"/>
      <c r="S79" s="126">
        <f t="shared" si="15"/>
        <v>0</v>
      </c>
    </row>
    <row r="80" spans="1:19" x14ac:dyDescent="0.25">
      <c r="A80" s="32" t="s">
        <v>46</v>
      </c>
      <c r="B80" s="16">
        <v>1070.8699999999999</v>
      </c>
      <c r="C80" s="17"/>
      <c r="D80" s="18">
        <f>300*9</f>
        <v>2700</v>
      </c>
      <c r="E80" s="20">
        <v>2153.65</v>
      </c>
      <c r="G80" s="18">
        <v>2700</v>
      </c>
      <c r="H80" s="20">
        <v>2641.5</v>
      </c>
      <c r="J80" s="18">
        <v>2700</v>
      </c>
      <c r="K80" s="76">
        <v>1270.4100000000001</v>
      </c>
      <c r="L80" s="86"/>
      <c r="M80" s="76">
        <v>2700</v>
      </c>
      <c r="N80" s="76">
        <v>2196.02</v>
      </c>
      <c r="O80" s="86"/>
      <c r="P80" s="148"/>
      <c r="Q80" s="76">
        <v>2700</v>
      </c>
      <c r="R80" s="86"/>
      <c r="S80" s="126">
        <f t="shared" si="15"/>
        <v>-2700</v>
      </c>
    </row>
    <row r="81" spans="1:21" x14ac:dyDescent="0.25">
      <c r="A81" s="64" t="s">
        <v>3</v>
      </c>
      <c r="B81" s="16"/>
      <c r="C81" s="17"/>
      <c r="D81" s="18"/>
      <c r="E81" s="65">
        <f>SUM(E65:E80)</f>
        <v>15361.38</v>
      </c>
      <c r="F81" s="66"/>
      <c r="G81" s="65">
        <f>SUM(G65:G80)</f>
        <v>14700</v>
      </c>
      <c r="H81" s="65">
        <f>SUM(H65:H80)</f>
        <v>14705.35</v>
      </c>
      <c r="J81" s="65">
        <f>SUM(J65:J80)</f>
        <v>14675</v>
      </c>
      <c r="K81" s="81">
        <f>SUM(K65:K80)</f>
        <v>13492.41</v>
      </c>
      <c r="L81" s="86"/>
      <c r="M81" s="81">
        <f>SUM(M65:M80)</f>
        <v>15100</v>
      </c>
      <c r="N81" s="81">
        <f>SUM(N65:N80)</f>
        <v>11956.11</v>
      </c>
      <c r="O81" s="86"/>
      <c r="P81" s="154">
        <f>SUM(P65:P80)</f>
        <v>0</v>
      </c>
      <c r="Q81" s="81">
        <f>SUM(Q65:Q80)</f>
        <v>10385</v>
      </c>
      <c r="R81" s="86"/>
      <c r="S81" s="131">
        <f t="shared" si="15"/>
        <v>-10385</v>
      </c>
    </row>
    <row r="82" spans="1:21" ht="9" customHeight="1" x14ac:dyDescent="0.25">
      <c r="A82" s="32"/>
      <c r="B82" s="16"/>
      <c r="C82" s="17"/>
      <c r="D82" s="18"/>
      <c r="E82" s="20"/>
      <c r="G82" s="20"/>
      <c r="H82" s="20"/>
      <c r="J82" s="20"/>
      <c r="K82" s="76"/>
      <c r="L82" s="86"/>
      <c r="M82" s="76"/>
      <c r="N82" s="76"/>
      <c r="O82" s="86"/>
      <c r="P82" s="148"/>
      <c r="Q82" s="76"/>
      <c r="R82" s="86"/>
      <c r="S82" s="126"/>
    </row>
    <row r="83" spans="1:21" x14ac:dyDescent="0.25">
      <c r="A83" s="4" t="s">
        <v>12</v>
      </c>
      <c r="B83" s="23">
        <f>SUM(B63:B80)+B59+B57</f>
        <v>10782.400000000001</v>
      </c>
      <c r="C83" s="43"/>
      <c r="D83" s="26">
        <f>SUM(D63:D80)+D59+D57</f>
        <v>17225</v>
      </c>
      <c r="E83" s="59">
        <f>SUM(E81,E59,E57,E63)</f>
        <v>16559.39</v>
      </c>
      <c r="G83" s="59">
        <f>SUM(G81,G59,G57,G63)</f>
        <v>18000</v>
      </c>
      <c r="H83" s="59">
        <f>SUM(H81,H59,H57,H63)</f>
        <v>19341.36</v>
      </c>
      <c r="J83" s="59">
        <f>SUM(J81,J59,J57,J63)</f>
        <v>18175</v>
      </c>
      <c r="K83" s="82">
        <f>SUM(K81,K59,K57,K63)</f>
        <v>17331.489999999998</v>
      </c>
      <c r="L83" s="101"/>
      <c r="M83" s="82">
        <f>SUM(M81,M59,M57,M63)</f>
        <v>18700</v>
      </c>
      <c r="N83" s="82">
        <f>SUM(N81,N59,N57,N63)</f>
        <v>13491.79</v>
      </c>
      <c r="O83" s="101"/>
      <c r="P83" s="153">
        <f>SUM(P81,P59,P57,P63)</f>
        <v>0</v>
      </c>
      <c r="Q83" s="82">
        <f>SUM(Q81,Q59,Q57,Q63)</f>
        <v>13985</v>
      </c>
      <c r="R83" s="101"/>
      <c r="S83" s="132">
        <f>P83-Q83</f>
        <v>-13985</v>
      </c>
    </row>
    <row r="84" spans="1:21" ht="11.1" customHeight="1" x14ac:dyDescent="0.25">
      <c r="A84" s="4"/>
      <c r="B84" s="47"/>
      <c r="C84" s="43"/>
      <c r="D84" s="48"/>
      <c r="E84" s="49"/>
      <c r="G84" s="48"/>
      <c r="H84" s="49"/>
      <c r="J84" s="48"/>
      <c r="K84" s="83"/>
      <c r="L84" s="83"/>
      <c r="M84" s="83"/>
      <c r="N84" s="83"/>
      <c r="O84" s="83"/>
      <c r="P84" s="155"/>
      <c r="Q84" s="83"/>
      <c r="R84" s="83"/>
      <c r="S84" s="133"/>
    </row>
    <row r="85" spans="1:21" x14ac:dyDescent="0.25">
      <c r="A85" s="13" t="s">
        <v>44</v>
      </c>
      <c r="B85" s="16"/>
      <c r="C85" s="17"/>
      <c r="D85" s="18"/>
      <c r="E85" s="20"/>
      <c r="G85" s="18"/>
      <c r="H85" s="20"/>
      <c r="J85" s="18"/>
      <c r="K85" s="76"/>
      <c r="L85" s="86"/>
      <c r="M85" s="76"/>
      <c r="N85" s="76"/>
      <c r="O85" s="86"/>
      <c r="P85" s="148"/>
      <c r="Q85" s="76"/>
      <c r="R85" s="86"/>
      <c r="S85" s="126"/>
    </row>
    <row r="86" spans="1:21" x14ac:dyDescent="0.25">
      <c r="A86" s="32" t="s">
        <v>8</v>
      </c>
      <c r="B86" s="16">
        <f>415+400</f>
        <v>815</v>
      </c>
      <c r="C86" s="17"/>
      <c r="D86" s="18">
        <v>825</v>
      </c>
      <c r="E86" s="20">
        <v>785</v>
      </c>
      <c r="G86" s="18">
        <v>800</v>
      </c>
      <c r="H86" s="20">
        <v>785</v>
      </c>
      <c r="J86" s="18">
        <v>800</v>
      </c>
      <c r="K86" s="76">
        <v>812.06</v>
      </c>
      <c r="L86" s="86"/>
      <c r="M86" s="76">
        <v>800</v>
      </c>
      <c r="N86" s="76">
        <v>835</v>
      </c>
      <c r="O86" s="86"/>
      <c r="P86" s="148">
        <v>475</v>
      </c>
      <c r="Q86" s="76">
        <v>955</v>
      </c>
      <c r="R86" s="86"/>
      <c r="S86" s="126">
        <f t="shared" ref="S86:S96" si="17">P86-Q86</f>
        <v>-480</v>
      </c>
    </row>
    <row r="87" spans="1:21" x14ac:dyDescent="0.25">
      <c r="A87" s="32" t="s">
        <v>105</v>
      </c>
      <c r="B87" s="16"/>
      <c r="C87" s="17"/>
      <c r="D87" s="18"/>
      <c r="E87" s="20"/>
      <c r="G87" s="18"/>
      <c r="H87" s="20"/>
      <c r="J87" s="18"/>
      <c r="K87" s="76"/>
      <c r="L87" s="86"/>
      <c r="M87" s="76"/>
      <c r="N87" s="76">
        <v>0</v>
      </c>
      <c r="O87" s="86"/>
      <c r="P87" s="148">
        <v>201.75</v>
      </c>
      <c r="Q87" s="76">
        <v>250</v>
      </c>
      <c r="R87" s="86"/>
      <c r="S87" s="126">
        <f t="shared" si="17"/>
        <v>-48.25</v>
      </c>
    </row>
    <row r="88" spans="1:21" x14ac:dyDescent="0.25">
      <c r="A88" s="32" t="s">
        <v>102</v>
      </c>
      <c r="B88" s="16"/>
      <c r="C88" s="17"/>
      <c r="D88" s="18"/>
      <c r="E88" s="20"/>
      <c r="G88" s="18"/>
      <c r="H88" s="20"/>
      <c r="J88" s="18"/>
      <c r="K88" s="76"/>
      <c r="L88" s="86"/>
      <c r="M88" s="76"/>
      <c r="N88" s="76">
        <v>0</v>
      </c>
      <c r="O88" s="86"/>
      <c r="P88" s="148"/>
      <c r="Q88" s="76">
        <v>200</v>
      </c>
      <c r="R88" s="86"/>
      <c r="S88" s="126">
        <f t="shared" si="17"/>
        <v>-200</v>
      </c>
    </row>
    <row r="89" spans="1:21" x14ac:dyDescent="0.25">
      <c r="A89" s="32" t="s">
        <v>9</v>
      </c>
      <c r="B89" s="16"/>
      <c r="C89" s="17"/>
      <c r="D89" s="18"/>
      <c r="E89" s="20"/>
      <c r="G89" s="18"/>
      <c r="H89" s="20">
        <v>20</v>
      </c>
      <c r="J89" s="18">
        <v>50</v>
      </c>
      <c r="K89" s="76">
        <v>20</v>
      </c>
      <c r="L89" s="86"/>
      <c r="M89" s="76">
        <v>50</v>
      </c>
      <c r="N89" s="76">
        <f>34+34</f>
        <v>68</v>
      </c>
      <c r="O89" s="86"/>
      <c r="P89" s="148">
        <f>20+40</f>
        <v>60</v>
      </c>
      <c r="Q89" s="76">
        <v>50</v>
      </c>
      <c r="R89" s="86"/>
      <c r="S89" s="126">
        <f t="shared" si="17"/>
        <v>10</v>
      </c>
      <c r="U89" s="136"/>
    </row>
    <row r="90" spans="1:21" x14ac:dyDescent="0.25">
      <c r="A90" s="32" t="s">
        <v>72</v>
      </c>
      <c r="B90" s="16">
        <v>164.85</v>
      </c>
      <c r="C90" s="17"/>
      <c r="D90" s="18">
        <v>200</v>
      </c>
      <c r="E90" s="20">
        <v>216.8</v>
      </c>
      <c r="G90" s="18">
        <v>250</v>
      </c>
      <c r="H90" s="20">
        <f>-200+13.01</f>
        <v>-186.99</v>
      </c>
      <c r="J90" s="18">
        <v>250</v>
      </c>
      <c r="K90" s="76">
        <f>159.12</f>
        <v>159.12</v>
      </c>
      <c r="L90" s="86"/>
      <c r="M90" s="76">
        <v>200</v>
      </c>
      <c r="N90" s="76">
        <v>265.33999999999997</v>
      </c>
      <c r="O90" s="86"/>
      <c r="P90" s="148"/>
      <c r="Q90" s="76">
        <v>200</v>
      </c>
      <c r="R90" s="86"/>
      <c r="S90" s="126">
        <f t="shared" si="17"/>
        <v>-200</v>
      </c>
    </row>
    <row r="91" spans="1:21" x14ac:dyDescent="0.25">
      <c r="A91" s="32" t="s">
        <v>73</v>
      </c>
      <c r="B91" s="16"/>
      <c r="C91" s="17"/>
      <c r="D91" s="18"/>
      <c r="E91" s="20">
        <v>200</v>
      </c>
      <c r="G91" s="18"/>
      <c r="H91" s="20"/>
      <c r="J91" s="18"/>
      <c r="K91" s="76"/>
      <c r="L91" s="86"/>
      <c r="M91" s="76"/>
      <c r="N91" s="76">
        <v>85.34</v>
      </c>
      <c r="O91" s="86"/>
      <c r="P91" s="148"/>
      <c r="Q91" s="76">
        <v>100</v>
      </c>
      <c r="R91" s="86"/>
      <c r="S91" s="126">
        <f t="shared" si="17"/>
        <v>-100</v>
      </c>
    </row>
    <row r="92" spans="1:21" x14ac:dyDescent="0.25">
      <c r="A92" s="32" t="s">
        <v>35</v>
      </c>
      <c r="B92" s="16">
        <v>1000</v>
      </c>
      <c r="C92" s="17"/>
      <c r="D92" s="18">
        <v>1000</v>
      </c>
      <c r="E92" s="20">
        <v>0</v>
      </c>
      <c r="G92" s="18">
        <v>1000</v>
      </c>
      <c r="H92" s="20">
        <v>1750</v>
      </c>
      <c r="J92" s="18">
        <v>1000</v>
      </c>
      <c r="K92" s="76">
        <v>1000</v>
      </c>
      <c r="L92" s="86"/>
      <c r="M92" s="76">
        <v>1000</v>
      </c>
      <c r="N92" s="76">
        <v>1000</v>
      </c>
      <c r="O92" s="86"/>
      <c r="P92" s="148"/>
      <c r="Q92" s="76">
        <v>1000</v>
      </c>
      <c r="R92" s="86"/>
      <c r="S92" s="126">
        <f t="shared" si="17"/>
        <v>-1000</v>
      </c>
    </row>
    <row r="93" spans="1:21" hidden="1" x14ac:dyDescent="0.25">
      <c r="A93" s="2" t="s">
        <v>31</v>
      </c>
      <c r="B93" s="16">
        <v>0</v>
      </c>
      <c r="C93" s="17"/>
      <c r="D93" s="18">
        <v>0</v>
      </c>
      <c r="E93" s="20"/>
      <c r="G93" s="18"/>
      <c r="H93" s="20">
        <v>200</v>
      </c>
      <c r="J93" s="18">
        <v>250</v>
      </c>
      <c r="K93" s="76"/>
      <c r="L93" s="86"/>
      <c r="M93" s="76"/>
      <c r="N93" s="76"/>
      <c r="O93" s="86"/>
      <c r="P93" s="148"/>
      <c r="Q93" s="76"/>
      <c r="R93" s="86"/>
      <c r="S93" s="126">
        <f t="shared" si="17"/>
        <v>0</v>
      </c>
    </row>
    <row r="94" spans="1:21" x14ac:dyDescent="0.25">
      <c r="A94" s="32" t="s">
        <v>30</v>
      </c>
      <c r="B94" s="16">
        <v>0</v>
      </c>
      <c r="C94" s="17"/>
      <c r="D94" s="18">
        <v>0</v>
      </c>
      <c r="E94" s="20"/>
      <c r="G94" s="18"/>
      <c r="H94" s="20"/>
      <c r="J94" s="18">
        <v>500</v>
      </c>
      <c r="K94" s="76">
        <v>500</v>
      </c>
      <c r="L94" s="86"/>
      <c r="M94" s="76"/>
      <c r="N94" s="76">
        <v>500</v>
      </c>
      <c r="O94" s="86"/>
      <c r="P94" s="148"/>
      <c r="Q94" s="76">
        <v>500</v>
      </c>
      <c r="R94" s="86"/>
      <c r="S94" s="126">
        <f t="shared" si="17"/>
        <v>-500</v>
      </c>
    </row>
    <row r="95" spans="1:21" x14ac:dyDescent="0.25">
      <c r="A95" s="2" t="s">
        <v>18</v>
      </c>
      <c r="B95" s="16">
        <v>77.16</v>
      </c>
      <c r="C95" s="17"/>
      <c r="D95" s="21">
        <v>100</v>
      </c>
      <c r="E95" s="28">
        <v>1229.58</v>
      </c>
      <c r="G95" s="21">
        <v>250</v>
      </c>
      <c r="H95" s="28"/>
      <c r="J95" s="21">
        <v>250</v>
      </c>
      <c r="K95" s="84">
        <v>17</v>
      </c>
      <c r="L95" s="99"/>
      <c r="M95" s="84">
        <v>100</v>
      </c>
      <c r="N95" s="84">
        <v>71.92</v>
      </c>
      <c r="O95" s="99"/>
      <c r="P95" s="156"/>
      <c r="Q95" s="84">
        <v>100</v>
      </c>
      <c r="R95" s="99"/>
      <c r="S95" s="127">
        <f t="shared" si="17"/>
        <v>-100</v>
      </c>
    </row>
    <row r="96" spans="1:21" x14ac:dyDescent="0.25">
      <c r="A96" s="4" t="s">
        <v>33</v>
      </c>
      <c r="B96" s="23">
        <f>SUM(B86:B95)</f>
        <v>2057.0099999999998</v>
      </c>
      <c r="C96" s="43"/>
      <c r="D96" s="24">
        <f>SUM(D86:D95)</f>
        <v>2125</v>
      </c>
      <c r="E96" s="58">
        <f>SUM(E86:E95)</f>
        <v>2431.38</v>
      </c>
      <c r="G96" s="61">
        <f>SUM(G86:G95)</f>
        <v>2300</v>
      </c>
      <c r="H96" s="25">
        <f>SUM(H86:H95)</f>
        <v>2568.0100000000002</v>
      </c>
      <c r="J96" s="61">
        <f t="shared" ref="J96:P96" si="18">SUM(J86:J95)</f>
        <v>3100</v>
      </c>
      <c r="K96" s="80">
        <f t="shared" si="18"/>
        <v>2508.1799999999998</v>
      </c>
      <c r="L96" s="83"/>
      <c r="M96" s="80">
        <f t="shared" si="18"/>
        <v>2150</v>
      </c>
      <c r="N96" s="80">
        <f t="shared" ref="N96" si="19">SUM(N86:N95)</f>
        <v>2825.6</v>
      </c>
      <c r="O96" s="83"/>
      <c r="P96" s="151">
        <f t="shared" si="18"/>
        <v>736.75</v>
      </c>
      <c r="Q96" s="80">
        <f>SUM(Q86:Q95)</f>
        <v>3355</v>
      </c>
      <c r="R96" s="83"/>
      <c r="S96" s="126">
        <f t="shared" si="17"/>
        <v>-2618.25</v>
      </c>
    </row>
    <row r="97" spans="1:19" x14ac:dyDescent="0.25">
      <c r="A97" s="32"/>
      <c r="B97" s="16"/>
      <c r="C97" s="17"/>
      <c r="D97" s="18"/>
      <c r="E97" s="20"/>
      <c r="G97" s="18"/>
      <c r="H97" s="20"/>
      <c r="J97" s="18"/>
      <c r="K97" s="76"/>
      <c r="L97" s="86"/>
      <c r="M97" s="76"/>
      <c r="N97" s="76"/>
      <c r="O97" s="86"/>
      <c r="P97" s="148"/>
      <c r="Q97" s="76"/>
      <c r="R97" s="86"/>
      <c r="S97" s="126"/>
    </row>
    <row r="98" spans="1:19" x14ac:dyDescent="0.25">
      <c r="A98" s="4" t="s">
        <v>15</v>
      </c>
      <c r="B98" s="23">
        <f>+B83+B96</f>
        <v>12839.410000000002</v>
      </c>
      <c r="C98" s="43"/>
      <c r="D98" s="26">
        <f>+D96+D83</f>
        <v>19350</v>
      </c>
      <c r="E98" s="27">
        <f>+E96+E83</f>
        <v>18990.77</v>
      </c>
      <c r="G98" s="26">
        <f>+G96+G83</f>
        <v>20300</v>
      </c>
      <c r="H98" s="27">
        <f>+H96+H83</f>
        <v>21909.370000000003</v>
      </c>
      <c r="J98" s="26">
        <f t="shared" ref="J98:P98" si="20">+J96+J83</f>
        <v>21275</v>
      </c>
      <c r="K98" s="79">
        <f t="shared" si="20"/>
        <v>19839.669999999998</v>
      </c>
      <c r="L98" s="83"/>
      <c r="M98" s="79">
        <f t="shared" si="20"/>
        <v>20850</v>
      </c>
      <c r="N98" s="79">
        <f t="shared" ref="N98" si="21">+N96+N83</f>
        <v>16317.390000000001</v>
      </c>
      <c r="O98" s="83"/>
      <c r="P98" s="153">
        <f t="shared" si="20"/>
        <v>736.75</v>
      </c>
      <c r="Q98" s="79">
        <f>+Q96+Q83</f>
        <v>17340</v>
      </c>
      <c r="R98" s="83"/>
      <c r="S98" s="130">
        <f>P98-Q98</f>
        <v>-16603.25</v>
      </c>
    </row>
    <row r="99" spans="1:19" x14ac:dyDescent="0.25">
      <c r="A99" s="4"/>
      <c r="B99" s="47"/>
      <c r="C99" s="43"/>
      <c r="D99" s="48"/>
      <c r="E99" s="49"/>
      <c r="G99" s="48"/>
      <c r="H99" s="49"/>
      <c r="J99" s="48"/>
      <c r="K99" s="83"/>
      <c r="L99" s="83"/>
      <c r="M99" s="83"/>
      <c r="N99" s="83"/>
      <c r="O99" s="83"/>
      <c r="P99" s="155"/>
      <c r="Q99" s="83"/>
      <c r="R99" s="83"/>
      <c r="S99" s="133"/>
    </row>
    <row r="100" spans="1:19" ht="18.75" thickBot="1" x14ac:dyDescent="0.3">
      <c r="A100" s="4" t="s">
        <v>43</v>
      </c>
      <c r="B100" s="50">
        <f>B52-B98</f>
        <v>25855.929999999993</v>
      </c>
      <c r="C100" s="43"/>
      <c r="D100" s="50">
        <f>D52-D98</f>
        <v>29450</v>
      </c>
      <c r="E100" s="50">
        <f>E52-E98</f>
        <v>38844.06</v>
      </c>
      <c r="G100" s="50">
        <f>G52-G98</f>
        <v>17460</v>
      </c>
      <c r="H100" s="50">
        <f>H52-H98</f>
        <v>20696.669999999991</v>
      </c>
      <c r="J100" s="50">
        <f>J52-J98</f>
        <v>38015</v>
      </c>
      <c r="K100" s="85">
        <f>K52-K98</f>
        <v>37098.820000000007</v>
      </c>
      <c r="L100" s="102"/>
      <c r="M100" s="85">
        <f>M52-M98</f>
        <v>13180</v>
      </c>
      <c r="N100" s="85">
        <f>N52-N98</f>
        <v>25919.15</v>
      </c>
      <c r="O100" s="102"/>
      <c r="P100" s="157">
        <f>P52-P98</f>
        <v>7744.9199999999983</v>
      </c>
      <c r="Q100" s="85">
        <f>Q52-Q98</f>
        <v>25260.5</v>
      </c>
      <c r="R100" s="102"/>
      <c r="S100" s="134">
        <f>P100-Q100</f>
        <v>-17515.580000000002</v>
      </c>
    </row>
    <row r="101" spans="1:19" x14ac:dyDescent="0.25">
      <c r="A101" s="4"/>
      <c r="B101" s="47"/>
      <c r="C101" s="43"/>
      <c r="D101" s="48"/>
      <c r="E101" s="49"/>
      <c r="G101" s="48"/>
      <c r="H101" s="49"/>
      <c r="J101" s="48"/>
      <c r="K101" s="83"/>
      <c r="L101" s="83"/>
      <c r="M101" s="83"/>
      <c r="N101" s="83"/>
      <c r="O101" s="83"/>
      <c r="P101" s="155"/>
      <c r="Q101" s="83"/>
      <c r="R101" s="83"/>
      <c r="S101" s="133"/>
    </row>
    <row r="102" spans="1:19" x14ac:dyDescent="0.25">
      <c r="A102" s="63" t="s">
        <v>94</v>
      </c>
      <c r="B102" s="47">
        <v>21749.07</v>
      </c>
      <c r="C102" s="43"/>
      <c r="D102" s="48">
        <v>30000</v>
      </c>
      <c r="E102" s="67">
        <v>29704</v>
      </c>
      <c r="G102" s="52">
        <v>5000</v>
      </c>
      <c r="H102" s="67">
        <v>728.31</v>
      </c>
      <c r="J102" s="52">
        <v>40000</v>
      </c>
      <c r="K102" s="86">
        <v>43540.02</v>
      </c>
      <c r="L102" s="86"/>
      <c r="M102" s="86"/>
      <c r="N102" s="86">
        <v>900</v>
      </c>
      <c r="O102" s="86"/>
      <c r="P102" s="158">
        <v>2786.5</v>
      </c>
      <c r="Q102" s="86"/>
      <c r="R102" s="86"/>
      <c r="S102" s="133">
        <f t="shared" ref="S102:S108" si="22">P102-Q102</f>
        <v>2786.5</v>
      </c>
    </row>
    <row r="103" spans="1:19" x14ac:dyDescent="0.25">
      <c r="A103" s="63" t="s">
        <v>109</v>
      </c>
      <c r="B103" s="47">
        <v>21749.07</v>
      </c>
      <c r="C103" s="43"/>
      <c r="D103" s="48">
        <v>30000</v>
      </c>
      <c r="E103" s="67">
        <v>29704</v>
      </c>
      <c r="G103" s="52">
        <v>5000</v>
      </c>
      <c r="H103" s="67">
        <v>728.31</v>
      </c>
      <c r="J103" s="52">
        <v>40000</v>
      </c>
      <c r="K103" s="86">
        <v>43540.02</v>
      </c>
      <c r="L103" s="86"/>
      <c r="M103" s="86"/>
      <c r="N103" s="86"/>
      <c r="O103" s="86"/>
      <c r="P103" s="158"/>
      <c r="Q103" s="86">
        <v>15000</v>
      </c>
      <c r="R103" s="86"/>
      <c r="S103" s="133">
        <f t="shared" si="22"/>
        <v>-15000</v>
      </c>
    </row>
    <row r="104" spans="1:19" x14ac:dyDescent="0.25">
      <c r="A104" s="63" t="s">
        <v>110</v>
      </c>
      <c r="B104" s="47"/>
      <c r="C104" s="43"/>
      <c r="D104" s="48"/>
      <c r="E104" s="67"/>
      <c r="G104" s="52"/>
      <c r="H104" s="67"/>
      <c r="J104" s="52"/>
      <c r="K104" s="86"/>
      <c r="L104" s="86"/>
      <c r="M104" s="86"/>
      <c r="N104" s="86"/>
      <c r="O104" s="86"/>
      <c r="P104" s="158"/>
      <c r="Q104" s="86"/>
      <c r="R104" s="86"/>
      <c r="S104" s="133">
        <f t="shared" si="22"/>
        <v>0</v>
      </c>
    </row>
    <row r="105" spans="1:19" x14ac:dyDescent="0.25">
      <c r="A105" s="63" t="s">
        <v>111</v>
      </c>
      <c r="B105" s="47"/>
      <c r="C105" s="43"/>
      <c r="D105" s="48"/>
      <c r="E105" s="67"/>
      <c r="G105" s="52"/>
      <c r="H105" s="67"/>
      <c r="J105" s="52"/>
      <c r="K105" s="86"/>
      <c r="L105" s="86"/>
      <c r="M105" s="86"/>
      <c r="N105" s="86"/>
      <c r="O105" s="86"/>
      <c r="P105" s="158"/>
      <c r="Q105" s="86">
        <v>5000</v>
      </c>
      <c r="R105" s="86"/>
      <c r="S105" s="133">
        <f t="shared" si="22"/>
        <v>-5000</v>
      </c>
    </row>
    <row r="106" spans="1:19" x14ac:dyDescent="0.25">
      <c r="A106" s="63" t="s">
        <v>88</v>
      </c>
      <c r="B106" s="47"/>
      <c r="C106" s="43"/>
      <c r="D106" s="48"/>
      <c r="E106" s="67"/>
      <c r="G106" s="68">
        <v>15500</v>
      </c>
      <c r="H106" s="67">
        <v>14025</v>
      </c>
      <c r="J106" s="68">
        <v>15000</v>
      </c>
      <c r="K106" s="86">
        <v>9515</v>
      </c>
      <c r="L106" s="86"/>
      <c r="M106" s="86">
        <v>10000</v>
      </c>
      <c r="N106" s="86">
        <v>16397.14</v>
      </c>
      <c r="O106" s="86"/>
      <c r="P106" s="158"/>
      <c r="Q106" s="86"/>
      <c r="R106" s="86"/>
      <c r="S106" s="133">
        <f t="shared" si="22"/>
        <v>0</v>
      </c>
    </row>
    <row r="107" spans="1:19" x14ac:dyDescent="0.25">
      <c r="A107" s="4"/>
      <c r="B107" s="47"/>
      <c r="C107" s="43"/>
      <c r="D107" s="48"/>
      <c r="E107" s="49"/>
      <c r="G107" s="48"/>
      <c r="H107" s="49"/>
      <c r="J107" s="48"/>
      <c r="K107" s="83"/>
      <c r="L107" s="83"/>
      <c r="M107" s="83"/>
      <c r="N107" s="83"/>
      <c r="O107" s="83"/>
      <c r="P107" s="155"/>
      <c r="Q107" s="83"/>
      <c r="R107" s="83"/>
      <c r="S107" s="133">
        <f t="shared" si="22"/>
        <v>0</v>
      </c>
    </row>
    <row r="108" spans="1:19" ht="18.75" thickBot="1" x14ac:dyDescent="0.3">
      <c r="A108" s="29" t="s">
        <v>36</v>
      </c>
      <c r="B108" s="30">
        <f>+B52-B98-B103</f>
        <v>4106.8599999999933</v>
      </c>
      <c r="C108" s="43"/>
      <c r="D108" s="31">
        <f>D100-D103</f>
        <v>-550</v>
      </c>
      <c r="E108" s="31">
        <f>E100-E103</f>
        <v>9140.0599999999977</v>
      </c>
      <c r="G108" s="31">
        <f>G100-SUM(G103:G106)</f>
        <v>-3040</v>
      </c>
      <c r="H108" s="31">
        <f>H100-SUM(H103:H106)</f>
        <v>5943.3599999999915</v>
      </c>
      <c r="J108" s="31">
        <f t="shared" ref="J108:M108" si="23">J100-SUM(J103:J106)</f>
        <v>-16985</v>
      </c>
      <c r="K108" s="87">
        <f t="shared" si="23"/>
        <v>-15956.19999999999</v>
      </c>
      <c r="L108" s="100"/>
      <c r="M108" s="87">
        <f t="shared" si="23"/>
        <v>3180</v>
      </c>
      <c r="N108" s="87">
        <f>N100-SUM(N102:N106)</f>
        <v>8622.010000000002</v>
      </c>
      <c r="O108" s="100"/>
      <c r="P108" s="159">
        <f>P100-SUM(P102:P106)</f>
        <v>4958.4199999999983</v>
      </c>
      <c r="Q108" s="87">
        <f>Q100-SUM(Q102:Q106)</f>
        <v>5260.5</v>
      </c>
      <c r="R108" s="100"/>
      <c r="S108" s="135">
        <f t="shared" si="22"/>
        <v>-302.08000000000175</v>
      </c>
    </row>
    <row r="109" spans="1:19" ht="12.95" customHeight="1" thickTop="1" x14ac:dyDescent="0.25">
      <c r="B109" s="17"/>
      <c r="C109" s="17"/>
      <c r="D109" s="18"/>
      <c r="E109" s="20"/>
      <c r="G109" s="18"/>
      <c r="H109" s="20"/>
      <c r="J109" s="18"/>
      <c r="K109" s="76"/>
      <c r="L109" s="86"/>
      <c r="M109" s="76"/>
      <c r="N109" s="76"/>
      <c r="O109" s="86"/>
      <c r="P109" s="148"/>
      <c r="Q109" s="76"/>
      <c r="R109" s="86"/>
    </row>
    <row r="110" spans="1:19" hidden="1" x14ac:dyDescent="0.25">
      <c r="A110" s="8" t="s">
        <v>32</v>
      </c>
      <c r="B110" s="17"/>
      <c r="C110" s="17"/>
      <c r="D110" s="18"/>
      <c r="E110" s="20"/>
      <c r="G110" s="18"/>
      <c r="H110" s="20"/>
      <c r="J110" s="18"/>
      <c r="K110" s="76"/>
      <c r="L110" s="86"/>
      <c r="M110" s="76"/>
      <c r="N110" s="76"/>
      <c r="O110" s="86"/>
      <c r="P110" s="148"/>
      <c r="Q110" s="76"/>
      <c r="R110" s="86"/>
    </row>
    <row r="111" spans="1:19" hidden="1" x14ac:dyDescent="0.25">
      <c r="A111" s="32" t="s">
        <v>4</v>
      </c>
      <c r="B111" s="18">
        <f>425+3500+60.61-20</f>
        <v>3965.61</v>
      </c>
      <c r="C111" s="17"/>
      <c r="D111" s="18"/>
      <c r="E111" s="20"/>
      <c r="G111" s="18"/>
      <c r="H111" s="20"/>
      <c r="J111" s="18"/>
      <c r="K111" s="76"/>
      <c r="L111" s="86"/>
      <c r="M111" s="76"/>
      <c r="N111" s="76"/>
      <c r="O111" s="86"/>
      <c r="P111" s="148"/>
      <c r="Q111" s="76"/>
      <c r="R111" s="86"/>
    </row>
    <row r="112" spans="1:19" ht="18.75" hidden="1" thickBot="1" x14ac:dyDescent="0.3">
      <c r="B112" s="33">
        <f>B108-B111</f>
        <v>141.24999999999318</v>
      </c>
      <c r="C112" s="17"/>
      <c r="D112" s="18"/>
      <c r="E112" s="20"/>
      <c r="G112" s="18"/>
      <c r="H112" s="20"/>
      <c r="J112" s="18"/>
      <c r="K112" s="76"/>
      <c r="L112" s="86"/>
      <c r="M112" s="76"/>
      <c r="N112" s="76"/>
      <c r="O112" s="86"/>
      <c r="P112" s="148"/>
      <c r="Q112" s="76"/>
      <c r="R112" s="86"/>
    </row>
    <row r="113" spans="1:20" ht="25.5" hidden="1" customHeight="1" x14ac:dyDescent="0.25">
      <c r="A113" s="8" t="s">
        <v>5</v>
      </c>
      <c r="B113" s="18">
        <v>1430.07</v>
      </c>
      <c r="C113" s="17"/>
      <c r="D113" s="18"/>
      <c r="E113" s="20"/>
      <c r="G113" s="18"/>
      <c r="H113" s="20"/>
      <c r="J113" s="18"/>
      <c r="K113" s="76"/>
      <c r="L113" s="86"/>
      <c r="M113" s="76"/>
      <c r="N113" s="76"/>
      <c r="O113" s="86"/>
      <c r="P113" s="148"/>
      <c r="Q113" s="76"/>
      <c r="R113" s="86"/>
    </row>
    <row r="114" spans="1:20" ht="25.5" hidden="1" customHeight="1" x14ac:dyDescent="0.25">
      <c r="A114" s="8" t="s">
        <v>6</v>
      </c>
      <c r="B114" s="18">
        <f>B112-B113</f>
        <v>-1288.8200000000068</v>
      </c>
      <c r="C114" s="17"/>
      <c r="D114" s="18"/>
      <c r="E114" s="20"/>
      <c r="G114" s="18"/>
      <c r="H114" s="20"/>
      <c r="J114" s="18"/>
      <c r="K114" s="76"/>
      <c r="L114" s="86"/>
      <c r="M114" s="76"/>
      <c r="N114" s="76"/>
      <c r="O114" s="86"/>
      <c r="P114" s="148"/>
      <c r="Q114" s="76"/>
      <c r="R114" s="86"/>
    </row>
    <row r="115" spans="1:20" s="1" customFormat="1" x14ac:dyDescent="0.25">
      <c r="A115" s="46" t="s">
        <v>95</v>
      </c>
      <c r="B115" s="16"/>
      <c r="C115" s="17"/>
      <c r="D115" s="34"/>
      <c r="E115" s="42"/>
      <c r="G115" s="34"/>
      <c r="H115" s="42"/>
      <c r="J115" s="34"/>
      <c r="K115" s="88"/>
      <c r="L115" s="103"/>
      <c r="M115" s="88"/>
      <c r="N115" s="88"/>
      <c r="O115" s="103"/>
      <c r="P115" s="160"/>
      <c r="Q115" s="88"/>
      <c r="R115" s="103"/>
      <c r="S115" s="137"/>
    </row>
    <row r="116" spans="1:20" s="163" customFormat="1" ht="15" x14ac:dyDescent="0.2">
      <c r="A116" s="163" t="s">
        <v>117</v>
      </c>
      <c r="B116" s="164"/>
      <c r="C116" s="164"/>
      <c r="D116" s="165">
        <v>127.14</v>
      </c>
      <c r="E116" s="166">
        <v>127.14</v>
      </c>
      <c r="G116" s="165"/>
      <c r="H116" s="166"/>
      <c r="J116" s="165"/>
      <c r="K116" s="167"/>
      <c r="L116" s="168"/>
      <c r="M116" s="167"/>
      <c r="N116" s="167"/>
      <c r="O116" s="168"/>
      <c r="P116" s="169">
        <v>1412.11</v>
      </c>
      <c r="Q116" s="167">
        <v>1412.11</v>
      </c>
      <c r="R116" s="168"/>
      <c r="S116" s="168">
        <f>P116-Q116</f>
        <v>0</v>
      </c>
    </row>
    <row r="117" spans="1:20" x14ac:dyDescent="0.25">
      <c r="A117" s="8" t="s">
        <v>71</v>
      </c>
      <c r="B117" s="17"/>
      <c r="C117" s="17"/>
      <c r="D117" s="18"/>
      <c r="E117" s="20"/>
      <c r="G117" s="18"/>
      <c r="H117" s="20">
        <v>-64</v>
      </c>
      <c r="J117" s="18"/>
      <c r="K117" s="76"/>
      <c r="L117" s="86"/>
      <c r="M117" s="76"/>
      <c r="N117" s="76"/>
      <c r="O117" s="86"/>
      <c r="P117" s="148">
        <v>-602.29999999999995</v>
      </c>
      <c r="Q117" s="76">
        <v>-602.29999999999995</v>
      </c>
      <c r="R117" s="86"/>
      <c r="S117" s="133">
        <f>P117-Q117</f>
        <v>0</v>
      </c>
    </row>
    <row r="118" spans="1:20" x14ac:dyDescent="0.25">
      <c r="A118" s="8" t="s">
        <v>108</v>
      </c>
      <c r="B118" s="17"/>
      <c r="C118" s="17"/>
      <c r="D118" s="18"/>
      <c r="E118" s="20"/>
      <c r="G118" s="18"/>
      <c r="H118" s="20">
        <v>-64</v>
      </c>
      <c r="J118" s="18"/>
      <c r="K118" s="76"/>
      <c r="L118" s="86"/>
      <c r="M118" s="76"/>
      <c r="N118" s="76"/>
      <c r="O118" s="86"/>
      <c r="P118" s="148">
        <f>-(144+144)</f>
        <v>-288</v>
      </c>
      <c r="Q118" s="76">
        <v>-288</v>
      </c>
      <c r="R118" s="86"/>
      <c r="S118" s="133">
        <f>P118-Q118</f>
        <v>0</v>
      </c>
    </row>
    <row r="119" spans="1:20" ht="18.75" thickBot="1" x14ac:dyDescent="0.3">
      <c r="B119" s="17"/>
      <c r="C119" s="17"/>
      <c r="D119" s="33">
        <f>SUM(D116:D118)</f>
        <v>127.14</v>
      </c>
      <c r="E119" s="35">
        <f>SUM(E116:E118)</f>
        <v>127.14</v>
      </c>
      <c r="G119" s="33">
        <f>SUM(G116:G118)</f>
        <v>0</v>
      </c>
      <c r="H119" s="35">
        <f>SUM(H116:H118)</f>
        <v>-128</v>
      </c>
      <c r="J119" s="33">
        <f>SUM(J116:J118)</f>
        <v>0</v>
      </c>
      <c r="K119" s="89">
        <f>SUM(K116:K118)</f>
        <v>0</v>
      </c>
      <c r="L119" s="86"/>
      <c r="M119" s="89">
        <f>SUM(M116:M118)</f>
        <v>0</v>
      </c>
      <c r="N119" s="89">
        <f>SUM(N116:N118)</f>
        <v>0</v>
      </c>
      <c r="O119" s="86"/>
      <c r="P119" s="161">
        <f>SUM(P116:P118)</f>
        <v>521.80999999999995</v>
      </c>
      <c r="Q119" s="89">
        <f>SUM(Q116:Q118)</f>
        <v>521.80999999999995</v>
      </c>
      <c r="R119" s="86"/>
      <c r="S119" s="138">
        <f>P119-Q119</f>
        <v>0</v>
      </c>
    </row>
    <row r="120" spans="1:20" x14ac:dyDescent="0.25">
      <c r="B120" s="17"/>
      <c r="C120" s="17"/>
      <c r="D120" s="52"/>
      <c r="E120" s="67"/>
      <c r="G120" s="52"/>
      <c r="H120" s="67"/>
      <c r="J120" s="52"/>
      <c r="K120" s="86"/>
      <c r="L120" s="86"/>
      <c r="M120" s="86"/>
      <c r="N120" s="86"/>
      <c r="O120" s="86"/>
      <c r="P120" s="158"/>
      <c r="Q120" s="86"/>
      <c r="R120" s="86"/>
      <c r="S120" s="133"/>
    </row>
    <row r="121" spans="1:20" x14ac:dyDescent="0.25">
      <c r="A121" s="8" t="s">
        <v>97</v>
      </c>
      <c r="B121" s="17"/>
      <c r="C121" s="17"/>
      <c r="D121" s="52"/>
      <c r="E121" s="67"/>
      <c r="G121" s="52"/>
      <c r="H121" s="67"/>
      <c r="J121" s="52"/>
      <c r="K121" s="86"/>
      <c r="L121" s="86"/>
      <c r="M121" s="86"/>
      <c r="N121" s="86">
        <v>-1661.5</v>
      </c>
      <c r="O121" s="86"/>
      <c r="P121" s="158"/>
      <c r="Q121" s="86"/>
      <c r="R121" s="86"/>
      <c r="S121" s="133">
        <f>P121-Q121</f>
        <v>0</v>
      </c>
    </row>
    <row r="122" spans="1:20" x14ac:dyDescent="0.25">
      <c r="A122" s="8" t="s">
        <v>96</v>
      </c>
      <c r="B122" s="17"/>
      <c r="C122" s="17"/>
      <c r="D122" s="52"/>
      <c r="E122" s="67"/>
      <c r="G122" s="52"/>
      <c r="H122" s="67"/>
      <c r="J122" s="52"/>
      <c r="K122" s="86"/>
      <c r="L122" s="86"/>
      <c r="M122" s="86"/>
      <c r="N122" s="86"/>
      <c r="O122" s="86"/>
      <c r="P122" s="158">
        <f>48+1120+10+244</f>
        <v>1422</v>
      </c>
      <c r="Q122" s="86">
        <v>1661.5</v>
      </c>
      <c r="R122" s="86"/>
      <c r="S122" s="133">
        <f>P122-Q122</f>
        <v>-239.5</v>
      </c>
    </row>
    <row r="123" spans="1:20" ht="14.1" customHeight="1" x14ac:dyDescent="0.25">
      <c r="B123" s="17"/>
      <c r="C123" s="17"/>
      <c r="D123" s="18"/>
      <c r="E123" s="20"/>
      <c r="G123" s="18"/>
      <c r="H123" s="20"/>
      <c r="J123" s="18"/>
      <c r="K123" s="76"/>
      <c r="L123" s="86"/>
      <c r="M123" s="76"/>
      <c r="N123" s="76"/>
      <c r="O123" s="86"/>
      <c r="P123" s="148"/>
      <c r="Q123" s="76"/>
      <c r="R123" s="86"/>
      <c r="T123"/>
    </row>
    <row r="124" spans="1:20" ht="18.75" thickBot="1" x14ac:dyDescent="0.3">
      <c r="A124" s="8" t="s">
        <v>80</v>
      </c>
      <c r="B124"/>
      <c r="C124" s="17"/>
      <c r="D124" s="36">
        <f>D108-D119</f>
        <v>-677.14</v>
      </c>
      <c r="E124" s="37">
        <f>E108-E119</f>
        <v>9012.9199999999983</v>
      </c>
      <c r="G124" s="36">
        <f>G108-G119</f>
        <v>-3040</v>
      </c>
      <c r="H124" s="37">
        <f>H108-H119</f>
        <v>6071.3599999999915</v>
      </c>
      <c r="J124" s="36">
        <f>J108-J119</f>
        <v>-16985</v>
      </c>
      <c r="K124" s="90">
        <f>K108-K119</f>
        <v>-15956.19999999999</v>
      </c>
      <c r="L124" s="86"/>
      <c r="M124" s="90">
        <f>M108-M119</f>
        <v>3180</v>
      </c>
      <c r="N124" s="90">
        <f>N108+SUM(N117:N118)+SUM(N121:N122)</f>
        <v>6960.510000000002</v>
      </c>
      <c r="O124" s="86"/>
      <c r="P124" s="162">
        <f>P108+SUM(P117:P118)+SUM(P121:P122)</f>
        <v>5490.1199999999981</v>
      </c>
      <c r="Q124" s="90">
        <f>Q108+SUM(Q117:Q118)+SUM(Q121:Q122)</f>
        <v>6031.7</v>
      </c>
      <c r="R124" s="86"/>
      <c r="S124" s="139">
        <f>P124-Q124</f>
        <v>-541.58000000000175</v>
      </c>
      <c r="T124"/>
    </row>
    <row r="125" spans="1:20" ht="18.75" thickTop="1" x14ac:dyDescent="0.25">
      <c r="A125"/>
      <c r="B125"/>
      <c r="C125" s="17"/>
      <c r="D125" s="18"/>
      <c r="E125" s="20"/>
      <c r="G125" s="18"/>
      <c r="H125" s="20"/>
      <c r="J125" s="18"/>
      <c r="K125" s="20"/>
      <c r="L125" s="67"/>
      <c r="M125" s="20"/>
      <c r="N125" s="20"/>
      <c r="O125" s="67"/>
      <c r="P125" s="20"/>
      <c r="Q125" s="20"/>
      <c r="R125" s="67"/>
      <c r="T125"/>
    </row>
    <row r="126" spans="1:20" x14ac:dyDescent="0.25">
      <c r="A126" s="91" t="s">
        <v>74</v>
      </c>
      <c r="B126"/>
      <c r="C126"/>
      <c r="D126"/>
      <c r="E126"/>
      <c r="F126"/>
      <c r="G126"/>
      <c r="H126"/>
      <c r="I126"/>
      <c r="J126"/>
      <c r="K126"/>
      <c r="L126" s="70"/>
      <c r="N126" s="69"/>
      <c r="O126" s="106"/>
      <c r="P126" s="91" t="s">
        <v>67</v>
      </c>
      <c r="Q126" s="107">
        <v>41531</v>
      </c>
      <c r="R126" s="117"/>
    </row>
    <row r="127" spans="1:20" x14ac:dyDescent="0.25">
      <c r="A127" s="56" t="s">
        <v>75</v>
      </c>
      <c r="B127"/>
      <c r="C127"/>
      <c r="D127"/>
      <c r="E127"/>
      <c r="F127"/>
      <c r="G127"/>
      <c r="H127"/>
      <c r="I127"/>
      <c r="J127"/>
      <c r="K127"/>
      <c r="L127" s="70"/>
      <c r="N127" s="55">
        <f>Q130</f>
        <v>55142.09</v>
      </c>
      <c r="O127" s="92"/>
      <c r="P127" t="s">
        <v>68</v>
      </c>
      <c r="Q127" s="111">
        <v>35142.089999999997</v>
      </c>
      <c r="R127" s="118"/>
    </row>
    <row r="128" spans="1:20" x14ac:dyDescent="0.25">
      <c r="A128" s="56" t="s">
        <v>76</v>
      </c>
      <c r="B128"/>
      <c r="C128"/>
      <c r="D128"/>
      <c r="E128"/>
      <c r="F128"/>
      <c r="G128"/>
      <c r="H128"/>
      <c r="I128"/>
      <c r="J128"/>
      <c r="K128"/>
      <c r="L128" s="70"/>
      <c r="N128" s="55">
        <v>-20000</v>
      </c>
      <c r="O128" s="92"/>
      <c r="P128" t="s">
        <v>69</v>
      </c>
      <c r="Q128" s="55">
        <v>20000</v>
      </c>
      <c r="R128" s="92"/>
    </row>
    <row r="129" spans="1:19" x14ac:dyDescent="0.25">
      <c r="A129" s="56" t="s">
        <v>98</v>
      </c>
      <c r="B129"/>
      <c r="C129"/>
      <c r="D129"/>
      <c r="E129"/>
      <c r="F129"/>
      <c r="G129"/>
      <c r="H129"/>
      <c r="I129"/>
      <c r="J129"/>
      <c r="K129"/>
      <c r="L129" s="70"/>
      <c r="N129" s="55">
        <v>-314</v>
      </c>
      <c r="O129" s="92"/>
      <c r="P129" t="s">
        <v>70</v>
      </c>
      <c r="Q129" s="55">
        <v>0</v>
      </c>
      <c r="R129" s="92"/>
    </row>
    <row r="130" spans="1:19" ht="18.75" thickBot="1" x14ac:dyDescent="0.3">
      <c r="A130" s="56" t="s">
        <v>99</v>
      </c>
      <c r="B130"/>
      <c r="C130"/>
      <c r="D130"/>
      <c r="E130"/>
      <c r="F130"/>
      <c r="G130"/>
      <c r="H130"/>
      <c r="I130"/>
      <c r="J130"/>
      <c r="K130"/>
      <c r="L130" s="70"/>
      <c r="N130" s="55">
        <v>-21627.86</v>
      </c>
      <c r="O130" s="92"/>
      <c r="P130"/>
      <c r="Q130" s="57">
        <f>SUM(Q127:Q129)</f>
        <v>55142.09</v>
      </c>
      <c r="R130" s="92"/>
    </row>
    <row r="131" spans="1:19" ht="18.75" thickTop="1" x14ac:dyDescent="0.25">
      <c r="A131" s="56" t="s">
        <v>100</v>
      </c>
      <c r="B131"/>
      <c r="C131"/>
      <c r="D131"/>
      <c r="E131"/>
      <c r="F131"/>
      <c r="G131"/>
      <c r="H131"/>
      <c r="I131"/>
      <c r="J131"/>
      <c r="K131"/>
      <c r="L131" s="70"/>
      <c r="N131" s="93">
        <f>SUM(N127:N130)</f>
        <v>13200.229999999996</v>
      </c>
      <c r="O131" s="92"/>
      <c r="P131" s="92"/>
      <c r="Q131"/>
      <c r="R131" s="92"/>
    </row>
    <row r="132" spans="1:19" ht="15.95" customHeight="1" x14ac:dyDescent="0.25">
      <c r="A132" s="112" t="s">
        <v>104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4"/>
      <c r="M132" s="115"/>
      <c r="N132" s="111">
        <v>-403.36</v>
      </c>
      <c r="O132" s="70"/>
      <c r="P132" s="108"/>
      <c r="Q132" s="108"/>
      <c r="R132" s="108"/>
      <c r="S132" s="140"/>
    </row>
    <row r="133" spans="1:19" ht="15.95" customHeight="1" x14ac:dyDescent="0.25">
      <c r="A133" s="112" t="s">
        <v>103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4"/>
      <c r="M133" s="115"/>
      <c r="N133" s="111">
        <v>-334.5</v>
      </c>
      <c r="O133" s="70"/>
      <c r="P133" s="108"/>
      <c r="Q133" s="108"/>
      <c r="R133" s="108"/>
      <c r="S133" s="140"/>
    </row>
    <row r="134" spans="1:19" ht="15.95" customHeight="1" x14ac:dyDescent="0.25">
      <c r="A134" s="112" t="s">
        <v>119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4"/>
      <c r="M134" s="115"/>
      <c r="N134" s="111">
        <v>-288</v>
      </c>
      <c r="O134" s="70"/>
      <c r="P134" s="108"/>
      <c r="Q134" s="108"/>
      <c r="R134" s="108"/>
      <c r="S134" s="140"/>
    </row>
    <row r="135" spans="1:19" ht="15.95" customHeight="1" x14ac:dyDescent="0.25">
      <c r="A135" s="112" t="s">
        <v>120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4"/>
      <c r="M135" s="115"/>
      <c r="N135" s="111">
        <v>-2190</v>
      </c>
      <c r="O135" s="70"/>
      <c r="P135" s="108"/>
      <c r="Q135" s="108"/>
      <c r="R135" s="108"/>
      <c r="S135" s="140"/>
    </row>
    <row r="136" spans="1:19" ht="15.95" customHeight="1" x14ac:dyDescent="0.25">
      <c r="A136" s="112" t="s">
        <v>121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  <c r="M136" s="115"/>
      <c r="N136" s="111">
        <v>-22</v>
      </c>
      <c r="O136" s="70"/>
      <c r="P136" s="108"/>
      <c r="Q136" s="108"/>
      <c r="R136" s="108"/>
      <c r="S136" s="140"/>
    </row>
    <row r="137" spans="1:19" ht="15.95" customHeight="1" x14ac:dyDescent="0.25">
      <c r="A137" s="112" t="s">
        <v>122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4"/>
      <c r="M137" s="115"/>
      <c r="N137" s="111">
        <v>-20</v>
      </c>
      <c r="O137" s="70"/>
      <c r="P137" s="108"/>
      <c r="Q137" s="108"/>
      <c r="R137" s="108"/>
      <c r="S137" s="140"/>
    </row>
    <row r="138" spans="1:19" ht="15.95" customHeight="1" x14ac:dyDescent="0.25">
      <c r="A138" s="112" t="s">
        <v>123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4"/>
      <c r="M138" s="115"/>
      <c r="N138" s="111">
        <v>-568</v>
      </c>
      <c r="O138" s="70"/>
      <c r="P138" s="108"/>
      <c r="Q138" s="108"/>
      <c r="R138" s="108"/>
      <c r="S138" s="140"/>
    </row>
    <row r="139" spans="1:19" ht="18.75" thickBot="1" x14ac:dyDescent="0.3">
      <c r="A139" s="116" t="s">
        <v>124</v>
      </c>
      <c r="B139"/>
      <c r="C139" s="17"/>
      <c r="D139"/>
      <c r="E139"/>
      <c r="G139"/>
      <c r="H139" s="55"/>
      <c r="J139" s="18"/>
      <c r="K139" s="18"/>
      <c r="L139" s="52"/>
      <c r="M139"/>
      <c r="N139" s="57">
        <f>SUM(N131:N138)</f>
        <v>9374.3699999999953</v>
      </c>
      <c r="O139" s="70"/>
      <c r="P139" s="108"/>
      <c r="Q139" s="108"/>
      <c r="R139" s="108"/>
      <c r="S139" s="140"/>
    </row>
    <row r="140" spans="1:19" ht="18.75" thickTop="1" x14ac:dyDescent="0.25">
      <c r="A140" s="56"/>
      <c r="B140"/>
      <c r="C140" s="17"/>
      <c r="D140"/>
      <c r="E140"/>
      <c r="G140"/>
      <c r="H140" s="55"/>
      <c r="J140"/>
      <c r="K140"/>
      <c r="L140" s="70"/>
      <c r="M140"/>
      <c r="N140"/>
      <c r="O140" s="70"/>
      <c r="P140"/>
      <c r="Q140"/>
      <c r="R140" s="70"/>
    </row>
    <row r="141" spans="1:19" ht="18.75" thickBot="1" x14ac:dyDescent="0.3">
      <c r="A141"/>
      <c r="B141"/>
      <c r="C141"/>
      <c r="D141"/>
      <c r="E141"/>
      <c r="F141"/>
      <c r="G141"/>
      <c r="H141" s="72"/>
      <c r="J141"/>
      <c r="K141"/>
      <c r="L141" s="70"/>
      <c r="M141"/>
      <c r="N141"/>
      <c r="O141" s="70"/>
      <c r="P141"/>
      <c r="Q141"/>
      <c r="R141" s="70"/>
    </row>
    <row r="142" spans="1:19" ht="18.75" thickTop="1" x14ac:dyDescent="0.25">
      <c r="A142"/>
      <c r="B142"/>
      <c r="C142"/>
      <c r="D142"/>
      <c r="E142"/>
      <c r="F142"/>
      <c r="G142"/>
      <c r="H142"/>
      <c r="J142"/>
      <c r="K142"/>
      <c r="L142" s="70"/>
      <c r="M142"/>
      <c r="N142"/>
      <c r="O142" s="70"/>
      <c r="P142"/>
      <c r="Q142"/>
      <c r="R142" s="70"/>
    </row>
    <row r="143" spans="1:19" ht="9" customHeight="1" x14ac:dyDescent="0.25">
      <c r="A143"/>
      <c r="B143"/>
      <c r="C143"/>
      <c r="D143"/>
      <c r="E143"/>
      <c r="F143"/>
      <c r="G143"/>
      <c r="H143"/>
      <c r="J143"/>
      <c r="K143"/>
      <c r="L143" s="70"/>
      <c r="M143"/>
      <c r="N143"/>
      <c r="O143" s="70"/>
      <c r="P143"/>
      <c r="Q143"/>
      <c r="R143" s="70"/>
    </row>
    <row r="144" spans="1:19" x14ac:dyDescent="0.25">
      <c r="A144"/>
      <c r="B144"/>
      <c r="C144"/>
      <c r="D144"/>
      <c r="E144"/>
      <c r="F144"/>
      <c r="G144"/>
      <c r="H144"/>
      <c r="J144"/>
      <c r="K144"/>
      <c r="L144" s="70"/>
      <c r="M144"/>
      <c r="N144"/>
      <c r="O144" s="104"/>
      <c r="P144" s="54"/>
      <c r="Q144" s="54"/>
      <c r="R144" s="104"/>
    </row>
    <row r="145" spans="1:18" ht="9" customHeight="1" x14ac:dyDescent="0.25">
      <c r="A145"/>
      <c r="B145"/>
      <c r="C145"/>
      <c r="D145"/>
      <c r="E145"/>
      <c r="F145"/>
      <c r="G145"/>
      <c r="H145"/>
      <c r="J145"/>
      <c r="K145"/>
      <c r="L145" s="70"/>
      <c r="M145"/>
      <c r="N145"/>
    </row>
    <row r="146" spans="1:18" x14ac:dyDescent="0.25">
      <c r="A146"/>
      <c r="B146"/>
      <c r="C146"/>
      <c r="D146"/>
      <c r="E146"/>
      <c r="F146"/>
      <c r="G146"/>
      <c r="H146"/>
      <c r="K146" s="54"/>
      <c r="L146" s="104"/>
      <c r="M146" s="54"/>
      <c r="N146" s="54"/>
      <c r="O146" s="105"/>
      <c r="P146" s="53"/>
      <c r="Q146" s="53"/>
      <c r="R146" s="105"/>
    </row>
    <row r="147" spans="1:18" x14ac:dyDescent="0.25">
      <c r="D147"/>
      <c r="E147"/>
      <c r="H147" s="54"/>
    </row>
    <row r="148" spans="1:18" x14ac:dyDescent="0.25">
      <c r="K148" s="53"/>
      <c r="L148" s="105"/>
      <c r="M148" s="53"/>
      <c r="N148" s="53"/>
    </row>
    <row r="149" spans="1:18" x14ac:dyDescent="0.25">
      <c r="E149" s="53"/>
      <c r="H149" s="53"/>
    </row>
  </sheetData>
  <phoneticPr fontId="4" type="noConversion"/>
  <pageMargins left="0.5" right="0.5" top="0.25" bottom="0.6" header="0.5" footer="0.1"/>
  <pageSetup scale="78" fitToHeight="2" orientation="portrait" horizontalDpi="4294967292" verticalDpi="4294967292" r:id="rId1"/>
  <headerFooter alignWithMargins="0">
    <oddFooter>&amp;L&amp;D&amp;Z&amp;F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PageLayoutView="150" workbookViewId="0">
      <selection activeCell="J29" sqref="J29"/>
    </sheetView>
  </sheetViews>
  <sheetFormatPr defaultColWidth="11" defaultRowHeight="15.75" x14ac:dyDescent="0.25"/>
  <cols>
    <col min="1" max="1" width="31" style="172" customWidth="1"/>
    <col min="2" max="2" width="12.25" style="171" bestFit="1" customWidth="1"/>
    <col min="3" max="3" width="12.125" style="171" customWidth="1"/>
    <col min="4" max="4" width="11" style="171"/>
    <col min="5" max="5" width="12.25" style="171" bestFit="1" customWidth="1"/>
    <col min="6" max="6" width="11.25" style="171" bestFit="1" customWidth="1"/>
    <col min="7" max="7" width="15.125" style="171" bestFit="1" customWidth="1"/>
    <col min="8" max="9" width="11" style="171"/>
    <col min="10" max="16384" width="11" style="172"/>
  </cols>
  <sheetData>
    <row r="1" spans="1:9" x14ac:dyDescent="0.25">
      <c r="A1" s="170" t="s">
        <v>125</v>
      </c>
    </row>
    <row r="2" spans="1:9" x14ac:dyDescent="0.25">
      <c r="A2" s="170" t="s">
        <v>126</v>
      </c>
      <c r="D2" s="173" t="s">
        <v>127</v>
      </c>
      <c r="E2" s="174">
        <v>42993</v>
      </c>
      <c r="F2" s="173"/>
    </row>
    <row r="4" spans="1:9" x14ac:dyDescent="0.25">
      <c r="A4" s="172" t="s">
        <v>128</v>
      </c>
    </row>
    <row r="5" spans="1:9" x14ac:dyDescent="0.25">
      <c r="A5" s="172" t="s">
        <v>129</v>
      </c>
    </row>
    <row r="6" spans="1:9" ht="18" x14ac:dyDescent="0.4">
      <c r="B6" s="175" t="s">
        <v>101</v>
      </c>
      <c r="C6" s="175" t="s">
        <v>130</v>
      </c>
    </row>
    <row r="7" spans="1:9" s="176" customFormat="1" x14ac:dyDescent="0.25">
      <c r="B7" s="177" t="s">
        <v>131</v>
      </c>
      <c r="C7" s="177" t="s">
        <v>132</v>
      </c>
      <c r="D7" s="177" t="s">
        <v>133</v>
      </c>
      <c r="E7" s="177" t="s">
        <v>134</v>
      </c>
      <c r="F7" s="177" t="s">
        <v>135</v>
      </c>
      <c r="G7" s="177" t="s">
        <v>101</v>
      </c>
      <c r="H7" s="177"/>
      <c r="I7" s="177"/>
    </row>
    <row r="8" spans="1:9" s="176" customFormat="1" x14ac:dyDescent="0.25">
      <c r="A8" s="176" t="s">
        <v>136</v>
      </c>
      <c r="B8" s="177" t="s">
        <v>137</v>
      </c>
      <c r="C8" s="177" t="s">
        <v>138</v>
      </c>
      <c r="D8" s="177" t="s">
        <v>139</v>
      </c>
      <c r="E8" s="177" t="s">
        <v>140</v>
      </c>
      <c r="F8" s="177" t="s">
        <v>101</v>
      </c>
      <c r="G8" s="177" t="s">
        <v>141</v>
      </c>
      <c r="H8" s="177"/>
      <c r="I8" s="177"/>
    </row>
    <row r="9" spans="1:9" x14ac:dyDescent="0.25">
      <c r="A9" s="178"/>
    </row>
    <row r="10" spans="1:9" x14ac:dyDescent="0.25">
      <c r="A10" s="179" t="s">
        <v>142</v>
      </c>
      <c r="B10" s="180">
        <v>1715</v>
      </c>
      <c r="C10" s="180"/>
      <c r="D10" s="180">
        <v>0</v>
      </c>
      <c r="E10" s="180">
        <f>B10+D10-C10</f>
        <v>1715</v>
      </c>
      <c r="F10" s="180"/>
      <c r="G10" s="180">
        <f>E10-F10</f>
        <v>1715</v>
      </c>
    </row>
    <row r="11" spans="1:9" x14ac:dyDescent="0.25">
      <c r="A11" s="179" t="s">
        <v>143</v>
      </c>
      <c r="B11" s="180">
        <v>1000</v>
      </c>
      <c r="C11" s="180"/>
      <c r="D11" s="180">
        <v>0</v>
      </c>
      <c r="E11" s="180">
        <f t="shared" ref="E11:E25" si="0">B11+D11-C11</f>
        <v>1000</v>
      </c>
      <c r="F11" s="180"/>
      <c r="G11" s="180">
        <f t="shared" ref="G11:G25" si="1">E11-F11</f>
        <v>1000</v>
      </c>
    </row>
    <row r="12" spans="1:9" x14ac:dyDescent="0.25">
      <c r="A12" s="179" t="s">
        <v>144</v>
      </c>
      <c r="B12" s="180">
        <v>3200</v>
      </c>
      <c r="C12" s="180"/>
      <c r="D12" s="180">
        <v>0</v>
      </c>
      <c r="E12" s="180">
        <f t="shared" si="0"/>
        <v>3200</v>
      </c>
      <c r="F12" s="180"/>
      <c r="G12" s="180">
        <f t="shared" si="1"/>
        <v>3200</v>
      </c>
    </row>
    <row r="13" spans="1:9" x14ac:dyDescent="0.25">
      <c r="A13" s="179" t="s">
        <v>145</v>
      </c>
      <c r="B13" s="180">
        <v>1500</v>
      </c>
      <c r="C13" s="180"/>
      <c r="D13" s="180">
        <v>0</v>
      </c>
      <c r="E13" s="180">
        <f t="shared" si="0"/>
        <v>1500</v>
      </c>
      <c r="F13" s="180"/>
      <c r="G13" s="180">
        <f t="shared" si="1"/>
        <v>1500</v>
      </c>
    </row>
    <row r="14" spans="1:9" x14ac:dyDescent="0.25">
      <c r="A14" s="179" t="s">
        <v>146</v>
      </c>
      <c r="B14" s="180">
        <v>850</v>
      </c>
      <c r="C14" s="180"/>
      <c r="D14" s="180">
        <v>0</v>
      </c>
      <c r="E14" s="180">
        <f t="shared" si="0"/>
        <v>850</v>
      </c>
      <c r="F14" s="180"/>
      <c r="G14" s="180">
        <f t="shared" si="1"/>
        <v>850</v>
      </c>
    </row>
    <row r="15" spans="1:9" x14ac:dyDescent="0.25">
      <c r="A15" s="181" t="s">
        <v>147</v>
      </c>
      <c r="B15" s="180">
        <v>330</v>
      </c>
      <c r="C15" s="180"/>
      <c r="D15" s="180"/>
      <c r="E15" s="180">
        <f t="shared" si="0"/>
        <v>330</v>
      </c>
      <c r="F15" s="180"/>
      <c r="G15" s="180">
        <f t="shared" si="1"/>
        <v>330</v>
      </c>
    </row>
    <row r="16" spans="1:9" x14ac:dyDescent="0.25">
      <c r="A16" s="172" t="s">
        <v>148</v>
      </c>
      <c r="B16" s="180">
        <v>0</v>
      </c>
      <c r="C16" s="180"/>
      <c r="D16" s="180">
        <v>0</v>
      </c>
      <c r="E16" s="180">
        <f t="shared" si="0"/>
        <v>0</v>
      </c>
      <c r="F16" s="180"/>
      <c r="G16" s="180">
        <f t="shared" si="1"/>
        <v>0</v>
      </c>
    </row>
    <row r="17" spans="1:9" x14ac:dyDescent="0.25">
      <c r="A17" s="172" t="s">
        <v>149</v>
      </c>
      <c r="B17" s="180">
        <v>900</v>
      </c>
      <c r="C17" s="180">
        <v>900</v>
      </c>
      <c r="D17" s="180"/>
      <c r="E17" s="180">
        <f t="shared" si="0"/>
        <v>0</v>
      </c>
      <c r="F17" s="180"/>
      <c r="G17" s="180">
        <f t="shared" si="1"/>
        <v>0</v>
      </c>
    </row>
    <row r="18" spans="1:9" x14ac:dyDescent="0.25">
      <c r="A18" s="172" t="s">
        <v>150</v>
      </c>
      <c r="B18" s="180">
        <v>5540</v>
      </c>
      <c r="C18" s="180"/>
      <c r="D18" s="180"/>
      <c r="E18" s="180">
        <f t="shared" si="0"/>
        <v>5540</v>
      </c>
      <c r="F18" s="180">
        <f>1518.5+568</f>
        <v>2086.5</v>
      </c>
      <c r="G18" s="180">
        <f t="shared" si="1"/>
        <v>3453.5</v>
      </c>
    </row>
    <row r="19" spans="1:9" x14ac:dyDescent="0.25">
      <c r="A19" s="172" t="s">
        <v>151</v>
      </c>
      <c r="B19" s="180">
        <v>1995</v>
      </c>
      <c r="C19" s="180"/>
      <c r="D19" s="180"/>
      <c r="E19" s="180">
        <f t="shared" si="0"/>
        <v>1995</v>
      </c>
      <c r="F19" s="180"/>
      <c r="G19" s="180">
        <f t="shared" si="1"/>
        <v>1995</v>
      </c>
    </row>
    <row r="20" spans="1:9" x14ac:dyDescent="0.25">
      <c r="A20" s="172" t="s">
        <v>152</v>
      </c>
      <c r="B20" s="180">
        <v>800</v>
      </c>
      <c r="C20" s="180"/>
      <c r="D20" s="180">
        <f>'[1]Restricted Cash 16-17'!F16</f>
        <v>62.919999999999959</v>
      </c>
      <c r="E20" s="180">
        <f t="shared" si="0"/>
        <v>862.92</v>
      </c>
      <c r="F20" s="180"/>
      <c r="G20" s="180">
        <f t="shared" si="1"/>
        <v>862.92</v>
      </c>
    </row>
    <row r="21" spans="1:9" x14ac:dyDescent="0.25">
      <c r="A21" s="172" t="s">
        <v>153</v>
      </c>
      <c r="B21" s="180">
        <v>700</v>
      </c>
      <c r="C21" s="180"/>
      <c r="D21" s="180"/>
      <c r="E21" s="180">
        <f t="shared" si="0"/>
        <v>700</v>
      </c>
      <c r="F21" s="180">
        <v>700</v>
      </c>
      <c r="G21" s="180">
        <f t="shared" si="1"/>
        <v>0</v>
      </c>
    </row>
    <row r="22" spans="1:9" x14ac:dyDescent="0.25">
      <c r="A22" s="172" t="s">
        <v>154</v>
      </c>
      <c r="B22" s="180">
        <v>1470</v>
      </c>
      <c r="C22" s="180"/>
      <c r="D22" s="180"/>
      <c r="E22" s="180">
        <f t="shared" si="0"/>
        <v>1470</v>
      </c>
      <c r="F22" s="180"/>
      <c r="G22" s="180">
        <f t="shared" si="1"/>
        <v>1470</v>
      </c>
    </row>
    <row r="23" spans="1:9" x14ac:dyDescent="0.25">
      <c r="A23" s="172" t="s">
        <v>155</v>
      </c>
      <c r="B23" s="180">
        <v>0</v>
      </c>
      <c r="C23" s="180"/>
      <c r="D23" s="180">
        <f>'[1]Restricted Cash 16-17'!F17</f>
        <v>251.44</v>
      </c>
      <c r="E23" s="180">
        <f t="shared" si="0"/>
        <v>251.44</v>
      </c>
      <c r="F23" s="180"/>
      <c r="G23" s="180">
        <f t="shared" si="1"/>
        <v>251.44</v>
      </c>
      <c r="H23" s="172"/>
      <c r="I23" s="172"/>
    </row>
    <row r="24" spans="1:9" x14ac:dyDescent="0.25">
      <c r="A24" s="172" t="s">
        <v>156</v>
      </c>
      <c r="B24" s="180">
        <v>3000</v>
      </c>
      <c r="C24" s="180"/>
      <c r="D24" s="180">
        <v>0</v>
      </c>
      <c r="E24" s="180">
        <f t="shared" si="0"/>
        <v>3000</v>
      </c>
      <c r="F24" s="180"/>
      <c r="G24" s="180">
        <f t="shared" si="1"/>
        <v>3000</v>
      </c>
      <c r="H24" s="172"/>
      <c r="I24" s="172"/>
    </row>
    <row r="25" spans="1:9" x14ac:dyDescent="0.25">
      <c r="A25" s="172" t="s">
        <v>157</v>
      </c>
      <c r="B25" s="180">
        <v>2000</v>
      </c>
      <c r="C25" s="180"/>
      <c r="D25" s="180"/>
      <c r="E25" s="180">
        <f t="shared" si="0"/>
        <v>2000</v>
      </c>
      <c r="F25" s="180"/>
      <c r="G25" s="180">
        <f t="shared" si="1"/>
        <v>2000</v>
      </c>
      <c r="H25" s="172"/>
      <c r="I25" s="172"/>
    </row>
    <row r="26" spans="1:9" x14ac:dyDescent="0.25">
      <c r="B26" s="180"/>
      <c r="C26" s="180"/>
      <c r="D26" s="180"/>
      <c r="E26" s="180"/>
      <c r="F26" s="180"/>
      <c r="G26" s="180"/>
    </row>
    <row r="27" spans="1:9" ht="16.5" thickBot="1" x14ac:dyDescent="0.3">
      <c r="A27" s="172" t="s">
        <v>134</v>
      </c>
      <c r="B27" s="182">
        <f t="shared" ref="B27:G27" si="2">SUM(B10:B26)</f>
        <v>25000</v>
      </c>
      <c r="C27" s="182">
        <f t="shared" si="2"/>
        <v>900</v>
      </c>
      <c r="D27" s="183">
        <f t="shared" si="2"/>
        <v>314.35999999999996</v>
      </c>
      <c r="E27" s="183">
        <f t="shared" si="2"/>
        <v>24414.359999999997</v>
      </c>
      <c r="F27" s="183">
        <f t="shared" si="2"/>
        <v>2786.5</v>
      </c>
      <c r="G27" s="184">
        <f t="shared" si="2"/>
        <v>21627.86</v>
      </c>
      <c r="H27" s="172"/>
      <c r="I27" s="172"/>
    </row>
    <row r="28" spans="1:9" ht="16.5" thickTop="1" x14ac:dyDescent="0.25">
      <c r="H28" s="172"/>
      <c r="I28" s="172"/>
    </row>
    <row r="29" spans="1:9" x14ac:dyDescent="0.25">
      <c r="B29" s="185" t="s">
        <v>100</v>
      </c>
      <c r="C29" s="186">
        <f>SUM(B27:C27)</f>
        <v>25900</v>
      </c>
      <c r="D29" s="172"/>
      <c r="E29" s="172"/>
      <c r="H29" s="172"/>
      <c r="I29" s="172"/>
    </row>
    <row r="30" spans="1:9" x14ac:dyDescent="0.25">
      <c r="B30" s="172"/>
      <c r="C30" s="172"/>
      <c r="D30" s="172"/>
      <c r="E30" s="172"/>
      <c r="H30" s="172"/>
      <c r="I30" s="172"/>
    </row>
    <row r="31" spans="1:9" x14ac:dyDescent="0.25">
      <c r="B31" s="172"/>
      <c r="C31" s="172"/>
      <c r="D31" s="172"/>
      <c r="E31" s="172"/>
      <c r="H31" s="172"/>
      <c r="I31" s="172"/>
    </row>
    <row r="32" spans="1:9" x14ac:dyDescent="0.25">
      <c r="B32" s="172"/>
      <c r="C32" s="172"/>
      <c r="D32" s="172"/>
      <c r="E32" s="172"/>
      <c r="H32" s="172"/>
      <c r="I32" s="172"/>
    </row>
    <row r="33" spans="2:9" x14ac:dyDescent="0.25">
      <c r="B33" s="172"/>
      <c r="C33" s="172"/>
      <c r="D33" s="172"/>
      <c r="E33" s="172"/>
    </row>
    <row r="35" spans="2:9" x14ac:dyDescent="0.25">
      <c r="H35" s="172"/>
      <c r="I35" s="172"/>
    </row>
  </sheetData>
  <pageMargins left="0.5" right="0.5" top="1" bottom="1" header="0.5" footer="0.5"/>
  <pageSetup orientation="landscape" horizontalDpi="4294967292" verticalDpi="4294967292"/>
  <headerFooter>
    <oddFooter>&amp;R&amp;"Calibri,Regular"&amp;K000000&amp;D, 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worksheet</vt:lpstr>
      <vt:lpstr>Actuals 9-15-17</vt:lpstr>
      <vt:lpstr>G&amp;G Cash 17-18</vt:lpstr>
      <vt:lpstr>'Actuals 9-15-17'!Print_Titles</vt:lpstr>
      <vt:lpstr>'Budget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Benison</dc:creator>
  <cp:lastModifiedBy>Edward Rowley</cp:lastModifiedBy>
  <cp:lastPrinted>2017-09-15T19:08:33Z</cp:lastPrinted>
  <dcterms:created xsi:type="dcterms:W3CDTF">2011-09-13T19:40:30Z</dcterms:created>
  <dcterms:modified xsi:type="dcterms:W3CDTF">2017-09-21T13:19:57Z</dcterms:modified>
</cp:coreProperties>
</file>